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jw\Documents\Horst2020\AMU\Fotovoltaik\Vortrag\"/>
    </mc:Choice>
  </mc:AlternateContent>
  <xr:revisionPtr revIDLastSave="0" documentId="13_ncr:1_{C34FA581-2EBA-4507-B55D-7362C4630CF8}" xr6:coauthVersionLast="47" xr6:coauthVersionMax="47" xr10:uidLastSave="{00000000-0000-0000-0000-000000000000}"/>
  <bookViews>
    <workbookView xWindow="20370" yWindow="-4815" windowWidth="25440" windowHeight="15990" activeTab="4" xr2:uid="{11706E2D-EC88-4312-99F6-AF4A6B7CB39B}"/>
  </bookViews>
  <sheets>
    <sheet name="Heizsysteme" sheetId="1" r:id="rId1"/>
    <sheet name="WIR" sheetId="5" r:id="rId2"/>
    <sheet name="Solarthermie" sheetId="4" r:id="rId3"/>
    <sheet name="Übersicht" sheetId="8" r:id="rId4"/>
    <sheet name="Bilanz" sheetId="9" r:id="rId5"/>
  </sheets>
  <definedNames>
    <definedName name="_xlnm.Print_Titles" localSheetId="0">Heizsysteme!$2:$2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5" l="1"/>
  <c r="C10" i="5"/>
  <c r="D25" i="9"/>
  <c r="D22" i="9"/>
  <c r="D16" i="9"/>
  <c r="D8" i="9"/>
  <c r="D20" i="9" s="1"/>
  <c r="D33" i="9" l="1"/>
  <c r="P7" i="5" l="1"/>
  <c r="O7" i="5"/>
  <c r="N7" i="5"/>
  <c r="M7" i="5"/>
  <c r="L7" i="5"/>
  <c r="L4" i="5"/>
  <c r="L9" i="5" s="1"/>
  <c r="I16" i="5" s="1"/>
  <c r="A12" i="8"/>
  <c r="A13" i="8" s="1"/>
  <c r="A14" i="8" s="1"/>
  <c r="A15" i="8" s="1"/>
  <c r="A16" i="8" s="1"/>
  <c r="A17" i="8" s="1"/>
  <c r="A18" i="8" s="1"/>
  <c r="A19" i="8" s="1"/>
  <c r="A20" i="8" s="1"/>
  <c r="A21" i="8" s="1"/>
  <c r="A11" i="8"/>
  <c r="A5" i="8"/>
  <c r="A6" i="8" s="1"/>
  <c r="A7" i="8" s="1"/>
  <c r="A8" i="8" s="1"/>
  <c r="A9" i="8" s="1"/>
  <c r="A10" i="8" s="1"/>
  <c r="C6" i="5" l="1"/>
  <c r="AA50" i="5"/>
  <c r="Z50" i="5"/>
  <c r="Y50" i="5"/>
  <c r="X50" i="5"/>
  <c r="V50" i="5"/>
  <c r="U50" i="5"/>
  <c r="Z49" i="5"/>
  <c r="W49" i="5"/>
  <c r="V49" i="5"/>
  <c r="U49" i="5"/>
  <c r="Z48" i="5"/>
  <c r="X48" i="5"/>
  <c r="W48" i="5"/>
  <c r="U48" i="5"/>
  <c r="AA47" i="5"/>
  <c r="W47" i="5"/>
  <c r="V47" i="5"/>
  <c r="R50" i="5"/>
  <c r="Q50" i="5"/>
  <c r="P50" i="5"/>
  <c r="O50" i="5"/>
  <c r="M50" i="5"/>
  <c r="L50" i="5"/>
  <c r="Q49" i="5"/>
  <c r="N49" i="5"/>
  <c r="M49" i="5"/>
  <c r="L49" i="5"/>
  <c r="Q48" i="5"/>
  <c r="O48" i="5"/>
  <c r="N48" i="5"/>
  <c r="L48" i="5"/>
  <c r="R47" i="5"/>
  <c r="N47" i="5"/>
  <c r="M47" i="5"/>
  <c r="AA41" i="5"/>
  <c r="Z41" i="5"/>
  <c r="Y41" i="5"/>
  <c r="X41" i="5"/>
  <c r="W41" i="5"/>
  <c r="V41" i="5"/>
  <c r="U41" i="5"/>
  <c r="AA40" i="5"/>
  <c r="Z40" i="5"/>
  <c r="Y40" i="5"/>
  <c r="X40" i="5"/>
  <c r="W40" i="5"/>
  <c r="V40" i="5"/>
  <c r="U40" i="5"/>
  <c r="AA39" i="5"/>
  <c r="Z39" i="5"/>
  <c r="Y39" i="5"/>
  <c r="X39" i="5"/>
  <c r="W39" i="5"/>
  <c r="V39" i="5"/>
  <c r="U39" i="5"/>
  <c r="AA38" i="5"/>
  <c r="Z38" i="5"/>
  <c r="Y38" i="5"/>
  <c r="X38" i="5"/>
  <c r="W38" i="5"/>
  <c r="V38" i="5"/>
  <c r="U38" i="5"/>
  <c r="R41" i="5"/>
  <c r="Q41" i="5"/>
  <c r="P41" i="5"/>
  <c r="O41" i="5"/>
  <c r="N41" i="5"/>
  <c r="M41" i="5"/>
  <c r="L41" i="5"/>
  <c r="R40" i="5"/>
  <c r="Q40" i="5"/>
  <c r="P40" i="5"/>
  <c r="O40" i="5"/>
  <c r="N40" i="5"/>
  <c r="M40" i="5"/>
  <c r="L40" i="5"/>
  <c r="R39" i="5"/>
  <c r="Q39" i="5"/>
  <c r="P39" i="5"/>
  <c r="O39" i="5"/>
  <c r="N39" i="5"/>
  <c r="M39" i="5"/>
  <c r="L39" i="5"/>
  <c r="R38" i="5"/>
  <c r="Q38" i="5"/>
  <c r="P38" i="5"/>
  <c r="O38" i="5"/>
  <c r="N38" i="5"/>
  <c r="M38" i="5"/>
  <c r="L38" i="5"/>
  <c r="AA28" i="5"/>
  <c r="Z28" i="5"/>
  <c r="Y28" i="5"/>
  <c r="X28" i="5"/>
  <c r="W28" i="5"/>
  <c r="V28" i="5"/>
  <c r="U28" i="5"/>
  <c r="AA27" i="5"/>
  <c r="Z27" i="5"/>
  <c r="Y27" i="5"/>
  <c r="X27" i="5"/>
  <c r="W27" i="5"/>
  <c r="V27" i="5"/>
  <c r="U27" i="5"/>
  <c r="AA26" i="5"/>
  <c r="Z26" i="5"/>
  <c r="Y26" i="5"/>
  <c r="X26" i="5"/>
  <c r="W26" i="5"/>
  <c r="V26" i="5"/>
  <c r="U26" i="5"/>
  <c r="AA25" i="5"/>
  <c r="Z25" i="5"/>
  <c r="Y25" i="5"/>
  <c r="X25" i="5"/>
  <c r="W25" i="5"/>
  <c r="V25" i="5"/>
  <c r="U25" i="5"/>
  <c r="AA24" i="5"/>
  <c r="Z24" i="5"/>
  <c r="Y24" i="5"/>
  <c r="X24" i="5"/>
  <c r="W24" i="5"/>
  <c r="V24" i="5"/>
  <c r="U24" i="5"/>
  <c r="AA23" i="5"/>
  <c r="Z23" i="5"/>
  <c r="Y23" i="5"/>
  <c r="X23" i="5"/>
  <c r="W23" i="5"/>
  <c r="V23" i="5"/>
  <c r="U23" i="5"/>
  <c r="AA22" i="5"/>
  <c r="Z22" i="5"/>
  <c r="Y22" i="5"/>
  <c r="X22" i="5"/>
  <c r="W22" i="5"/>
  <c r="V22" i="5"/>
  <c r="U22" i="5"/>
  <c r="AA21" i="5"/>
  <c r="Z21" i="5"/>
  <c r="Y21" i="5"/>
  <c r="X21" i="5"/>
  <c r="W21" i="5"/>
  <c r="V21" i="5"/>
  <c r="U21" i="5"/>
  <c r="AA20" i="5"/>
  <c r="Z20" i="5"/>
  <c r="Y20" i="5"/>
  <c r="X20" i="5"/>
  <c r="W20" i="5"/>
  <c r="V20" i="5"/>
  <c r="U20" i="5"/>
  <c r="AA19" i="5"/>
  <c r="Z19" i="5"/>
  <c r="Y19" i="5"/>
  <c r="X19" i="5"/>
  <c r="W19" i="5"/>
  <c r="V19" i="5"/>
  <c r="U19" i="5"/>
  <c r="AA18" i="5"/>
  <c r="Z18" i="5"/>
  <c r="Y18" i="5"/>
  <c r="X18" i="5"/>
  <c r="W18" i="5"/>
  <c r="V18" i="5"/>
  <c r="U18" i="5"/>
  <c r="AA17" i="5"/>
  <c r="Z17" i="5"/>
  <c r="Y17" i="5"/>
  <c r="X17" i="5"/>
  <c r="W17" i="5"/>
  <c r="V17" i="5"/>
  <c r="U17" i="5"/>
  <c r="AA16" i="5"/>
  <c r="Z16" i="5"/>
  <c r="Z30" i="5" s="1"/>
  <c r="Z31" i="5" s="1"/>
  <c r="Y16" i="5"/>
  <c r="X16" i="5"/>
  <c r="W16" i="5"/>
  <c r="V16" i="5"/>
  <c r="V30" i="5" s="1"/>
  <c r="V31" i="5" s="1"/>
  <c r="U16" i="5"/>
  <c r="AA15" i="5"/>
  <c r="Z15" i="5"/>
  <c r="Y15" i="5"/>
  <c r="X15" i="5"/>
  <c r="W15" i="5"/>
  <c r="V15" i="5"/>
  <c r="U15" i="5"/>
  <c r="R28" i="5"/>
  <c r="Q28" i="5"/>
  <c r="P28" i="5"/>
  <c r="O28" i="5"/>
  <c r="N28" i="5"/>
  <c r="M28" i="5"/>
  <c r="R27" i="5"/>
  <c r="Q27" i="5"/>
  <c r="P27" i="5"/>
  <c r="O27" i="5"/>
  <c r="N27" i="5"/>
  <c r="M27" i="5"/>
  <c r="R26" i="5"/>
  <c r="Q26" i="5"/>
  <c r="P26" i="5"/>
  <c r="O26" i="5"/>
  <c r="N26" i="5"/>
  <c r="M26" i="5"/>
  <c r="R25" i="5"/>
  <c r="Q25" i="5"/>
  <c r="P25" i="5"/>
  <c r="O25" i="5"/>
  <c r="N25" i="5"/>
  <c r="M25" i="5"/>
  <c r="R24" i="5"/>
  <c r="Q24" i="5"/>
  <c r="P24" i="5"/>
  <c r="O24" i="5"/>
  <c r="N24" i="5"/>
  <c r="M24" i="5"/>
  <c r="R23" i="5"/>
  <c r="Q23" i="5"/>
  <c r="P23" i="5"/>
  <c r="O23" i="5"/>
  <c r="N23" i="5"/>
  <c r="M23" i="5"/>
  <c r="R22" i="5"/>
  <c r="Q22" i="5"/>
  <c r="P22" i="5"/>
  <c r="O22" i="5"/>
  <c r="N22" i="5"/>
  <c r="M22" i="5"/>
  <c r="R21" i="5"/>
  <c r="Q21" i="5"/>
  <c r="P21" i="5"/>
  <c r="O21" i="5"/>
  <c r="N21" i="5"/>
  <c r="M21" i="5"/>
  <c r="R20" i="5"/>
  <c r="Q20" i="5"/>
  <c r="P20" i="5"/>
  <c r="O20" i="5"/>
  <c r="N20" i="5"/>
  <c r="M20" i="5"/>
  <c r="R19" i="5"/>
  <c r="Q19" i="5"/>
  <c r="P19" i="5"/>
  <c r="O19" i="5"/>
  <c r="N19" i="5"/>
  <c r="M19" i="5"/>
  <c r="R18" i="5"/>
  <c r="Q18" i="5"/>
  <c r="P18" i="5"/>
  <c r="P30" i="5" s="1"/>
  <c r="P31" i="5" s="1"/>
  <c r="O18" i="5"/>
  <c r="N18" i="5"/>
  <c r="M18" i="5"/>
  <c r="R17" i="5"/>
  <c r="Q17" i="5"/>
  <c r="P17" i="5"/>
  <c r="O17" i="5"/>
  <c r="N17" i="5"/>
  <c r="M17" i="5"/>
  <c r="R16" i="5"/>
  <c r="Q16" i="5"/>
  <c r="P16" i="5"/>
  <c r="O16" i="5"/>
  <c r="N16" i="5"/>
  <c r="M16" i="5"/>
  <c r="R15" i="5"/>
  <c r="Q15" i="5"/>
  <c r="Q30" i="5" s="1"/>
  <c r="Q31" i="5" s="1"/>
  <c r="P15" i="5"/>
  <c r="O15" i="5"/>
  <c r="O30" i="5" s="1"/>
  <c r="O31" i="5" s="1"/>
  <c r="N15" i="5"/>
  <c r="M15" i="5"/>
  <c r="M30" i="5" s="1"/>
  <c r="M31" i="5" s="1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H6" i="5"/>
  <c r="F6" i="5" s="1"/>
  <c r="G6" i="5"/>
  <c r="E6" i="5" s="1"/>
  <c r="H5" i="5"/>
  <c r="F5" i="5" s="1"/>
  <c r="G5" i="5"/>
  <c r="E5" i="5" s="1"/>
  <c r="H4" i="5"/>
  <c r="F4" i="5" s="1"/>
  <c r="G4" i="5"/>
  <c r="E4" i="5" s="1"/>
  <c r="C46" i="5"/>
  <c r="G46" i="5" s="1"/>
  <c r="G49" i="5" s="1"/>
  <c r="Y49" i="5" s="1"/>
  <c r="C45" i="5"/>
  <c r="H45" i="5" s="1"/>
  <c r="I45" i="5" s="1"/>
  <c r="AA45" i="5" s="1"/>
  <c r="R30" i="5"/>
  <c r="N30" i="5"/>
  <c r="I42" i="5"/>
  <c r="I57" i="5" s="1"/>
  <c r="I62" i="5" s="1"/>
  <c r="I30" i="5"/>
  <c r="I31" i="5" s="1"/>
  <c r="F30" i="5"/>
  <c r="F31" i="5" s="1"/>
  <c r="G30" i="5"/>
  <c r="G31" i="5" s="1"/>
  <c r="H30" i="5"/>
  <c r="H31" i="5" s="1"/>
  <c r="H42" i="5"/>
  <c r="H57" i="5" s="1"/>
  <c r="H62" i="5" s="1"/>
  <c r="G42" i="5"/>
  <c r="G57" i="5" s="1"/>
  <c r="G62" i="5" s="1"/>
  <c r="F42" i="5"/>
  <c r="F57" i="5" s="1"/>
  <c r="F62" i="5" s="1"/>
  <c r="E42" i="5"/>
  <c r="E57" i="5" s="1"/>
  <c r="E62" i="5" s="1"/>
  <c r="D42" i="5"/>
  <c r="D57" i="5" s="1"/>
  <c r="D62" i="5" s="1"/>
  <c r="C42" i="5"/>
  <c r="C57" i="5" s="1"/>
  <c r="C62" i="5" s="1"/>
  <c r="E30" i="5"/>
  <c r="D30" i="5"/>
  <c r="C30" i="5"/>
  <c r="C31" i="5" s="1"/>
  <c r="X30" i="5" l="1"/>
  <c r="X31" i="5" s="1"/>
  <c r="W30" i="5"/>
  <c r="Y30" i="5"/>
  <c r="Y31" i="5" s="1"/>
  <c r="AA30" i="5"/>
  <c r="AA31" i="5" s="1"/>
  <c r="AA32" i="5" s="1"/>
  <c r="AA33" i="5" s="1"/>
  <c r="U30" i="5"/>
  <c r="U31" i="5" s="1"/>
  <c r="P49" i="5"/>
  <c r="U46" i="5"/>
  <c r="Y46" i="5"/>
  <c r="U45" i="5"/>
  <c r="R45" i="5"/>
  <c r="Z45" i="5"/>
  <c r="L45" i="5"/>
  <c r="Q45" i="5"/>
  <c r="L46" i="5"/>
  <c r="P46" i="5"/>
  <c r="L30" i="5"/>
  <c r="L31" i="5" s="1"/>
  <c r="F46" i="5"/>
  <c r="G48" i="5"/>
  <c r="E46" i="5"/>
  <c r="H46" i="5"/>
  <c r="H47" i="5" s="1"/>
  <c r="D45" i="5"/>
  <c r="D46" i="5"/>
  <c r="P42" i="5"/>
  <c r="P57" i="5" s="1"/>
  <c r="P62" i="5" s="1"/>
  <c r="M42" i="5"/>
  <c r="M57" i="5" s="1"/>
  <c r="M62" i="5" s="1"/>
  <c r="Q42" i="5"/>
  <c r="Q57" i="5" s="1"/>
  <c r="Q62" i="5" s="1"/>
  <c r="AA42" i="5"/>
  <c r="AA57" i="5" s="1"/>
  <c r="AA62" i="5" s="1"/>
  <c r="Y42" i="5"/>
  <c r="Y57" i="5" s="1"/>
  <c r="Y62" i="5" s="1"/>
  <c r="W42" i="5"/>
  <c r="W57" i="5" s="1"/>
  <c r="W62" i="5" s="1"/>
  <c r="U42" i="5"/>
  <c r="U57" i="5" s="1"/>
  <c r="U62" i="5" s="1"/>
  <c r="Z42" i="5"/>
  <c r="Z57" i="5" s="1"/>
  <c r="Z62" i="5" s="1"/>
  <c r="X42" i="5"/>
  <c r="X57" i="5" s="1"/>
  <c r="X62" i="5" s="1"/>
  <c r="V42" i="5"/>
  <c r="V57" i="5" s="1"/>
  <c r="V62" i="5" s="1"/>
  <c r="O32" i="5"/>
  <c r="O34" i="5" s="1"/>
  <c r="O56" i="5" s="1"/>
  <c r="O61" i="5" s="1"/>
  <c r="X32" i="5"/>
  <c r="X34" i="5" s="1"/>
  <c r="X56" i="5" s="1"/>
  <c r="X61" i="5" s="1"/>
  <c r="C47" i="5"/>
  <c r="L32" i="5"/>
  <c r="L34" i="5" s="1"/>
  <c r="L56" i="5" s="1"/>
  <c r="L61" i="5" s="1"/>
  <c r="P32" i="5"/>
  <c r="P34" i="5" s="1"/>
  <c r="P56" i="5" s="1"/>
  <c r="P61" i="5" s="1"/>
  <c r="N31" i="5"/>
  <c r="N32" i="5" s="1"/>
  <c r="N33" i="5" s="1"/>
  <c r="R31" i="5"/>
  <c r="R32" i="5" s="1"/>
  <c r="R33" i="5" s="1"/>
  <c r="W31" i="5"/>
  <c r="W32" i="5" s="1"/>
  <c r="W33" i="5" s="1"/>
  <c r="E45" i="5"/>
  <c r="F45" i="5"/>
  <c r="G45" i="5"/>
  <c r="V32" i="5"/>
  <c r="V33" i="5" s="1"/>
  <c r="Z32" i="5"/>
  <c r="Z33" i="5" s="1"/>
  <c r="O42" i="5"/>
  <c r="O57" i="5" s="1"/>
  <c r="O62" i="5" s="1"/>
  <c r="L42" i="5"/>
  <c r="L57" i="5" s="1"/>
  <c r="L62" i="5" s="1"/>
  <c r="N42" i="5"/>
  <c r="N57" i="5" s="1"/>
  <c r="N62" i="5" s="1"/>
  <c r="R42" i="5"/>
  <c r="R57" i="5" s="1"/>
  <c r="R62" i="5" s="1"/>
  <c r="M32" i="5"/>
  <c r="M33" i="5" s="1"/>
  <c r="Q32" i="5"/>
  <c r="Q33" i="5" s="1"/>
  <c r="I32" i="5"/>
  <c r="I33" i="5" s="1"/>
  <c r="H32" i="5"/>
  <c r="H33" i="5" s="1"/>
  <c r="G32" i="5"/>
  <c r="G34" i="5" s="1"/>
  <c r="G56" i="5" s="1"/>
  <c r="G61" i="5" s="1"/>
  <c r="F32" i="5"/>
  <c r="F34" i="5" s="1"/>
  <c r="F56" i="5" s="1"/>
  <c r="F61" i="5" s="1"/>
  <c r="E31" i="5"/>
  <c r="E32" i="5" s="1"/>
  <c r="E33" i="5" s="1"/>
  <c r="D31" i="5"/>
  <c r="D32" i="5" s="1"/>
  <c r="D33" i="5" s="1"/>
  <c r="C32" i="5"/>
  <c r="C34" i="5" s="1"/>
  <c r="C56" i="5" s="1"/>
  <c r="C61" i="5" s="1"/>
  <c r="Y32" i="5" l="1"/>
  <c r="Y34" i="5" s="1"/>
  <c r="Y56" i="5" s="1"/>
  <c r="Y61" i="5" s="1"/>
  <c r="U32" i="5"/>
  <c r="U34" i="5" s="1"/>
  <c r="U56" i="5" s="1"/>
  <c r="U61" i="5" s="1"/>
  <c r="G47" i="5"/>
  <c r="G51" i="5" s="1"/>
  <c r="G58" i="5" s="1"/>
  <c r="G63" i="5" s="1"/>
  <c r="G65" i="5" s="1"/>
  <c r="C74" i="5" s="1"/>
  <c r="Y45" i="5"/>
  <c r="P45" i="5"/>
  <c r="W45" i="5"/>
  <c r="N45" i="5"/>
  <c r="C51" i="5"/>
  <c r="C58" i="5" s="1"/>
  <c r="C63" i="5" s="1"/>
  <c r="C65" i="5" s="1"/>
  <c r="C70" i="5" s="1"/>
  <c r="U47" i="5"/>
  <c r="U51" i="5" s="1"/>
  <c r="U58" i="5" s="1"/>
  <c r="U63" i="5" s="1"/>
  <c r="L47" i="5"/>
  <c r="L51" i="5" s="1"/>
  <c r="L58" i="5" s="1"/>
  <c r="L63" i="5" s="1"/>
  <c r="L65" i="5" s="1"/>
  <c r="E70" i="5" s="1"/>
  <c r="I46" i="5"/>
  <c r="Z46" i="5"/>
  <c r="Q46" i="5"/>
  <c r="P48" i="5"/>
  <c r="Y48" i="5"/>
  <c r="F47" i="5"/>
  <c r="O45" i="5"/>
  <c r="X45" i="5"/>
  <c r="D48" i="5"/>
  <c r="D51" i="5" s="1"/>
  <c r="D58" i="5" s="1"/>
  <c r="D63" i="5" s="1"/>
  <c r="V46" i="5"/>
  <c r="M46" i="5"/>
  <c r="M45" i="5"/>
  <c r="V45" i="5"/>
  <c r="N46" i="5"/>
  <c r="W46" i="5"/>
  <c r="F49" i="5"/>
  <c r="X46" i="5"/>
  <c r="O46" i="5"/>
  <c r="Z34" i="5"/>
  <c r="Z56" i="5" s="1"/>
  <c r="Z61" i="5" s="1"/>
  <c r="W34" i="5"/>
  <c r="W56" i="5" s="1"/>
  <c r="W61" i="5" s="1"/>
  <c r="N34" i="5"/>
  <c r="N56" i="5" s="1"/>
  <c r="N61" i="5" s="1"/>
  <c r="I34" i="5"/>
  <c r="I56" i="5" s="1"/>
  <c r="I61" i="5" s="1"/>
  <c r="Q34" i="5"/>
  <c r="Q56" i="5" s="1"/>
  <c r="Q61" i="5" s="1"/>
  <c r="AA34" i="5"/>
  <c r="AA56" i="5" s="1"/>
  <c r="AA61" i="5" s="1"/>
  <c r="R34" i="5"/>
  <c r="R56" i="5" s="1"/>
  <c r="R61" i="5" s="1"/>
  <c r="H34" i="5"/>
  <c r="H56" i="5" s="1"/>
  <c r="H61" i="5" s="1"/>
  <c r="E50" i="5"/>
  <c r="V34" i="5"/>
  <c r="V56" i="5" s="1"/>
  <c r="V61" i="5" s="1"/>
  <c r="M34" i="5"/>
  <c r="M56" i="5" s="1"/>
  <c r="M61" i="5" s="1"/>
  <c r="E34" i="5"/>
  <c r="E56" i="5" s="1"/>
  <c r="E61" i="5" s="1"/>
  <c r="D34" i="5"/>
  <c r="D56" i="5" s="1"/>
  <c r="D61" i="5" s="1"/>
  <c r="F51" i="5" l="1"/>
  <c r="F58" i="5" s="1"/>
  <c r="F63" i="5" s="1"/>
  <c r="F65" i="5" s="1"/>
  <c r="C73" i="5" s="1"/>
  <c r="U65" i="5"/>
  <c r="G70" i="5" s="1"/>
  <c r="I48" i="5"/>
  <c r="I49" i="5"/>
  <c r="H51" i="5"/>
  <c r="H58" i="5" s="1"/>
  <c r="H63" i="5" s="1"/>
  <c r="H65" i="5" s="1"/>
  <c r="C75" i="5" s="1"/>
  <c r="Q47" i="5"/>
  <c r="Q51" i="5" s="1"/>
  <c r="Q58" i="5" s="1"/>
  <c r="Q63" i="5" s="1"/>
  <c r="Q65" i="5" s="1"/>
  <c r="E75" i="5" s="1"/>
  <c r="Z47" i="5"/>
  <c r="O49" i="5"/>
  <c r="X49" i="5"/>
  <c r="O47" i="5"/>
  <c r="O51" i="5" s="1"/>
  <c r="O58" i="5" s="1"/>
  <c r="O63" i="5" s="1"/>
  <c r="O65" i="5" s="1"/>
  <c r="E73" i="5" s="1"/>
  <c r="X47" i="5"/>
  <c r="X51" i="5" s="1"/>
  <c r="X58" i="5" s="1"/>
  <c r="X63" i="5" s="1"/>
  <c r="X65" i="5" s="1"/>
  <c r="G73" i="5" s="1"/>
  <c r="E51" i="5"/>
  <c r="E58" i="5" s="1"/>
  <c r="E63" i="5" s="1"/>
  <c r="E65" i="5" s="1"/>
  <c r="C72" i="5" s="1"/>
  <c r="N50" i="5"/>
  <c r="N51" i="5" s="1"/>
  <c r="N58" i="5" s="1"/>
  <c r="N63" i="5" s="1"/>
  <c r="N65" i="5" s="1"/>
  <c r="E72" i="5" s="1"/>
  <c r="W50" i="5"/>
  <c r="W51" i="5" s="1"/>
  <c r="W58" i="5" s="1"/>
  <c r="W63" i="5" s="1"/>
  <c r="W65" i="5" s="1"/>
  <c r="G72" i="5" s="1"/>
  <c r="V48" i="5"/>
  <c r="V51" i="5" s="1"/>
  <c r="V58" i="5" s="1"/>
  <c r="V63" i="5" s="1"/>
  <c r="V65" i="5" s="1"/>
  <c r="G71" i="5" s="1"/>
  <c r="M48" i="5"/>
  <c r="M51" i="5" s="1"/>
  <c r="M58" i="5" s="1"/>
  <c r="M63" i="5" s="1"/>
  <c r="M65" i="5" s="1"/>
  <c r="E71" i="5" s="1"/>
  <c r="R46" i="5"/>
  <c r="AA46" i="5"/>
  <c r="Y47" i="5"/>
  <c r="Y51" i="5" s="1"/>
  <c r="Y58" i="5" s="1"/>
  <c r="Y63" i="5" s="1"/>
  <c r="Y65" i="5" s="1"/>
  <c r="G74" i="5" s="1"/>
  <c r="P47" i="5"/>
  <c r="P51" i="5" s="1"/>
  <c r="P58" i="5" s="1"/>
  <c r="P63" i="5" s="1"/>
  <c r="P65" i="5" s="1"/>
  <c r="E74" i="5" s="1"/>
  <c r="Z51" i="5"/>
  <c r="Z58" i="5" s="1"/>
  <c r="Z63" i="5" s="1"/>
  <c r="Z65" i="5" s="1"/>
  <c r="G75" i="5" s="1"/>
  <c r="D65" i="5"/>
  <c r="C71" i="5" s="1"/>
  <c r="AA49" i="5" l="1"/>
  <c r="R49" i="5"/>
  <c r="R48" i="5"/>
  <c r="AA48" i="5"/>
  <c r="I51" i="5"/>
  <c r="I58" i="5" s="1"/>
  <c r="I63" i="5" s="1"/>
  <c r="I65" i="5" s="1"/>
  <c r="C76" i="5" s="1"/>
  <c r="D71" i="5" s="1"/>
  <c r="B25" i="4"/>
  <c r="B30" i="4" s="1"/>
  <c r="B34" i="4" s="1"/>
  <c r="B8" i="4"/>
  <c r="B13" i="4" s="1"/>
  <c r="B17" i="4" s="1"/>
  <c r="D75" i="5" l="1"/>
  <c r="D76" i="5"/>
  <c r="D74" i="5"/>
  <c r="D72" i="5"/>
  <c r="D73" i="5"/>
  <c r="D70" i="5"/>
  <c r="AA51" i="5"/>
  <c r="AA58" i="5" s="1"/>
  <c r="AA63" i="5" s="1"/>
  <c r="AA65" i="5" s="1"/>
  <c r="G76" i="5" s="1"/>
  <c r="H70" i="5" s="1"/>
  <c r="R51" i="5"/>
  <c r="R58" i="5" s="1"/>
  <c r="R63" i="5" s="1"/>
  <c r="R65" i="5" s="1"/>
  <c r="E76" i="5" s="1"/>
  <c r="H74" i="5" l="1"/>
  <c r="H72" i="5"/>
  <c r="H76" i="5"/>
  <c r="H73" i="5"/>
  <c r="H75" i="5"/>
  <c r="H71" i="5"/>
  <c r="F72" i="5"/>
  <c r="F75" i="5"/>
  <c r="F70" i="5"/>
  <c r="F74" i="5"/>
  <c r="F73" i="5"/>
  <c r="F76" i="5"/>
  <c r="F7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hjw</author>
  </authors>
  <commentList>
    <comment ref="B4" authorId="0" shapeId="0" xr:uid="{4D2F99E2-2BFC-4607-B16D-C066F0F0C9D5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Grundgebühr beachten. Muss mit in den Gaspreis eingerechnet werden
</t>
        </r>
      </text>
    </comment>
    <comment ref="B10" authorId="0" shapeId="0" xr:uid="{72687B0B-3EF3-4155-A26E-68B856238E8A}">
      <text>
        <r>
          <rPr>
            <b/>
            <sz val="9"/>
            <color indexed="81"/>
            <rFont val="Segoe UI"/>
            <charset val="1"/>
          </rPr>
          <t>hjw:</t>
        </r>
        <r>
          <rPr>
            <sz val="9"/>
            <color indexed="81"/>
            <rFont val="Segoe UI"/>
            <charset val="1"/>
          </rPr>
          <t xml:space="preserve">
Bei einer Heizkörperheizung und einem wenig gedämmten Haus auf 3 setzen, Heizkörker und gut gedämmt 3,3, Fußbodenheizung 3,5</t>
        </r>
      </text>
    </comment>
    <comment ref="F49" authorId="0" shapeId="0" xr:uid="{B20C9D9A-3897-4402-BD3D-679AD6D84B20}">
      <text>
        <r>
          <rPr>
            <b/>
            <sz val="9"/>
            <color indexed="81"/>
            <rFont val="Segoe UI"/>
            <charset val="1"/>
          </rPr>
          <t>hjw:</t>
        </r>
        <r>
          <rPr>
            <sz val="9"/>
            <color indexed="81"/>
            <rFont val="Segoe UI"/>
            <charset val="1"/>
          </rPr>
          <t xml:space="preserve">
Die PV-Anlage muss groß genug sein, um diese Strommenge liefern zu können
</t>
        </r>
      </text>
    </comment>
    <comment ref="I49" authorId="0" shapeId="0" xr:uid="{D734FD23-A7E5-4A2F-AD32-2FBE715C182A}">
      <text>
        <r>
          <rPr>
            <b/>
            <sz val="9"/>
            <color indexed="81"/>
            <rFont val="Segoe UI"/>
            <charset val="1"/>
          </rPr>
          <t>hjw:</t>
        </r>
        <r>
          <rPr>
            <sz val="9"/>
            <color indexed="81"/>
            <rFont val="Segoe UI"/>
            <charset val="1"/>
          </rPr>
          <t xml:space="preserve">
Die PV-Anlage muss groß genug sein, um diese Strommenge liefern zu können.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hjw</author>
  </authors>
  <commentList>
    <comment ref="A5" authorId="0" shapeId="0" xr:uid="{3056270F-DF24-4655-A6D0-C1A8727A4689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Bedingung: Solaranlage muss nach Süden ausgerichtet sein, Dachneigung ca. 45°
</t>
        </r>
      </text>
    </comment>
    <comment ref="A22" authorId="0" shapeId="0" xr:uid="{375392DB-D183-41E3-8218-A77DD889B178}">
      <text>
        <r>
          <rPr>
            <b/>
            <sz val="9"/>
            <color indexed="81"/>
            <rFont val="Segoe UI"/>
            <family val="2"/>
          </rPr>
          <t>hjw:</t>
        </r>
        <r>
          <rPr>
            <sz val="9"/>
            <color indexed="81"/>
            <rFont val="Segoe UI"/>
            <family val="2"/>
          </rPr>
          <t xml:space="preserve">
Bedingung: Solaranlage muss nach Süden ausgerichtet sein, Dachneigung ca. 45°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hjw</author>
  </authors>
  <commentList>
    <comment ref="E12" authorId="0" shapeId="0" xr:uid="{992D4701-1A81-4AA0-92EB-73A92CE8A58E}">
      <text>
        <r>
          <rPr>
            <b/>
            <sz val="9"/>
            <color indexed="81"/>
            <rFont val="Segoe UI"/>
            <charset val="1"/>
          </rPr>
          <t>hjw:</t>
        </r>
        <r>
          <rPr>
            <sz val="9"/>
            <color indexed="81"/>
            <rFont val="Segoe UI"/>
            <charset val="1"/>
          </rPr>
          <t xml:space="preserve">
Heizplatte im Bad kann in normale Steckdose gesteckt werden</t>
        </r>
      </text>
    </comment>
    <comment ref="E14" authorId="0" shapeId="0" xr:uid="{62A4AB82-104D-48AD-9B6E-6D76042F3654}">
      <text>
        <r>
          <rPr>
            <b/>
            <sz val="9"/>
            <color indexed="81"/>
            <rFont val="Segoe UI"/>
            <charset val="1"/>
          </rPr>
          <t>hjw:</t>
        </r>
        <r>
          <rPr>
            <sz val="9"/>
            <color indexed="81"/>
            <rFont val="Segoe UI"/>
            <charset val="1"/>
          </rPr>
          <t xml:space="preserve">
Verteilnetz für die Wärme kann gespart werden
</t>
        </r>
      </text>
    </comment>
    <comment ref="C19" authorId="0" shapeId="0" xr:uid="{1DE4E7BB-1E8B-4857-967B-D0100EDA6265}">
      <text>
        <r>
          <rPr>
            <b/>
            <sz val="9"/>
            <color indexed="81"/>
            <rFont val="Segoe UI"/>
            <charset val="1"/>
          </rPr>
          <t>hjw:</t>
        </r>
        <r>
          <rPr>
            <sz val="9"/>
            <color indexed="81"/>
            <rFont val="Segoe UI"/>
            <charset val="1"/>
          </rPr>
          <t xml:space="preserve">
Kommt auf das unterstützende Heizsystem an
</t>
        </r>
      </text>
    </comment>
    <comment ref="E19" authorId="0" shapeId="0" xr:uid="{243F2D82-3EB2-4D69-8205-6A71511A9767}">
      <text>
        <r>
          <rPr>
            <b/>
            <sz val="9"/>
            <color indexed="81"/>
            <rFont val="Segoe UI"/>
            <charset val="1"/>
          </rPr>
          <t>hjw:</t>
        </r>
        <r>
          <rPr>
            <sz val="9"/>
            <color indexed="81"/>
            <rFont val="Segoe UI"/>
            <charset val="1"/>
          </rPr>
          <t xml:space="preserve">
Im Bestand nicht einfach zu lösen
</t>
        </r>
      </text>
    </comment>
  </commentList>
</comments>
</file>

<file path=xl/sharedStrings.xml><?xml version="1.0" encoding="utf-8"?>
<sst xmlns="http://schemas.openxmlformats.org/spreadsheetml/2006/main" count="590" uniqueCount="310">
  <si>
    <t>Gaskessel</t>
  </si>
  <si>
    <t>Ölkessel</t>
  </si>
  <si>
    <t>Pelletkessel</t>
  </si>
  <si>
    <t>Stückholzkessel</t>
  </si>
  <si>
    <t>Wärmepumpe</t>
  </si>
  <si>
    <t>Infrarotheizung</t>
  </si>
  <si>
    <t>Warmwasser</t>
  </si>
  <si>
    <t>Heizung</t>
  </si>
  <si>
    <t>Photovoltaik</t>
  </si>
  <si>
    <t>Thermische Solaranlage</t>
  </si>
  <si>
    <t>Lüftungsanlage</t>
  </si>
  <si>
    <t>monovalent</t>
  </si>
  <si>
    <t>Variante</t>
  </si>
  <si>
    <t>Energiequelle</t>
  </si>
  <si>
    <t>Gas</t>
  </si>
  <si>
    <t>Öl</t>
  </si>
  <si>
    <t>BHKW</t>
  </si>
  <si>
    <t>X</t>
  </si>
  <si>
    <t>bivalent</t>
  </si>
  <si>
    <t>im Ein- Zweifamilienhausbereich nicht üblich</t>
  </si>
  <si>
    <t>Heiztechnik</t>
  </si>
  <si>
    <t>mit thermischer Solaranlage</t>
  </si>
  <si>
    <t>Kommentar</t>
  </si>
  <si>
    <t>Fern-/Nahwärme</t>
  </si>
  <si>
    <t>im Ein- Zweifamilienhausbereich nicht wirtschaftlich</t>
  </si>
  <si>
    <t>Pellets</t>
  </si>
  <si>
    <t>Pelletkaminofen</t>
  </si>
  <si>
    <t>Stückholz</t>
  </si>
  <si>
    <t>nicht sinnvoll wegen WW-Bedarf im Sommer</t>
  </si>
  <si>
    <t>Risiko, dass im Sommer Wämebedarf entsteht, der nicht von der Solaranlage gedeckt werden kann =&gt; elektr. Nachheizen notwendig</t>
  </si>
  <si>
    <t>geringeres Risiko, dass im Sommer Wämebedarf entsteht, der nicht von der Solaranlage gedeckt werden kann =&gt; elektr. Nachheizen notwendig</t>
  </si>
  <si>
    <t>mit Abluftwärmepumpe für das WW</t>
  </si>
  <si>
    <t>nicht üblich, technisch aufwändig und teuer</t>
  </si>
  <si>
    <t>Kaminofen</t>
  </si>
  <si>
    <t>Pellet oder Stückholz; sinnvoll, da WP bei sehr niedrigen Außentemperaturen schwächelt</t>
  </si>
  <si>
    <t>Schwächen bei sehr niedrigen Außentemperaturen; ggf. elektr. Nachheizen erforderlich</t>
  </si>
  <si>
    <t>Luft/Strom</t>
  </si>
  <si>
    <t>Strom</t>
  </si>
  <si>
    <t>Kaminofen mit Wassertasche</t>
  </si>
  <si>
    <t>Pellet oder Stückholz; sinnvoll, da WP bei sehr niedrigen Außentemperaturen schwächelt, aber technisch aufwändig</t>
  </si>
  <si>
    <t>Luft-Wasser-Wärmepumpe</t>
  </si>
  <si>
    <t>ausgelegt auf WW-Bereitung</t>
  </si>
  <si>
    <t>ausgelegt auf Heizungsunterstützung</t>
  </si>
  <si>
    <t>Pellet oder Stückholz; ggf. sinnvoll, da WP kleiner dimensioniert werden kann</t>
  </si>
  <si>
    <t>Wasser-Wasser-Wärmepumpe</t>
  </si>
  <si>
    <t>Erdreich/Strom</t>
  </si>
  <si>
    <t>Sole-Wasser-Wärmepumpe</t>
  </si>
  <si>
    <t>Risiko von hohen Energiekosten, nur im Passivhausbereich interessant</t>
  </si>
  <si>
    <t>funktioniert nicht, da weder Fußbodenheizung noch Heizkörper vorhanden sind</t>
  </si>
  <si>
    <t>Pellet oder Stückholz; ggf. sinnvoll, um Primärenergie zu sparen</t>
  </si>
  <si>
    <t>Sonne</t>
  </si>
  <si>
    <t>stellt Energie für Haushaltsstrom, Hilfsenergie für die Heizungsanlage und ggf. Endenergie für die Heizungsanlage bereit.</t>
  </si>
  <si>
    <t>ohne Speicher</t>
  </si>
  <si>
    <t>mit Speicher</t>
  </si>
  <si>
    <t>Speicher trotz Förderung derzeit noch nicht wirtschaftlich</t>
  </si>
  <si>
    <t>Abluft</t>
  </si>
  <si>
    <t>Sonstiges</t>
  </si>
  <si>
    <t>großer Eisspeicher und thermische Solaranlage</t>
  </si>
  <si>
    <t>kleiner Eisspeicher und thermische Solaranlage</t>
  </si>
  <si>
    <t>z.B. solaera</t>
  </si>
  <si>
    <t>z.B 2Power</t>
  </si>
  <si>
    <t>Speziallösung 2Power</t>
  </si>
  <si>
    <t>für Brauchwassererwärmung</t>
  </si>
  <si>
    <t>mit Heizungsunterstützung</t>
  </si>
  <si>
    <t>Abluft ohne Wärmerückgewinnung</t>
  </si>
  <si>
    <t>sorgt nur für Frischluft; im Neubau fragwürdig</t>
  </si>
  <si>
    <t>Abluft mit Wärmerückgewinnung</t>
  </si>
  <si>
    <t>geht nur zentral mit WP, die dann Brauchwasser erwärmt</t>
  </si>
  <si>
    <t>dezentrale Zu- und Abluft mit WRG</t>
  </si>
  <si>
    <t>zentrale Zu- und Abluft mit WRG</t>
  </si>
  <si>
    <t>zentrale Zu- und Abluft mit WRG und Heizregister</t>
  </si>
  <si>
    <t>zentrale Zu- und Abluft mit WRG und Erdwärmetauscher</t>
  </si>
  <si>
    <t>zentrale Zu- und Abluft mit WRG und Heizregister und Erdwärmetauscher</t>
  </si>
  <si>
    <t>Erdtank</t>
  </si>
  <si>
    <t>Erdtanklösung und Solaranlage</t>
  </si>
  <si>
    <t>€</t>
  </si>
  <si>
    <t>Grenzkostenbetrachtung für Solarthermieanlagen</t>
  </si>
  <si>
    <t>Energieeinsparungen pro m² Kollektorfläche</t>
  </si>
  <si>
    <t>kWh</t>
  </si>
  <si>
    <t xml:space="preserve">Preis für eine kWh-Wärmeenergie </t>
  </si>
  <si>
    <t>Lebenserwartung der Anlage mindestens</t>
  </si>
  <si>
    <t>Jahre</t>
  </si>
  <si>
    <t>Ertrag pro m²</t>
  </si>
  <si>
    <t>Anzahl Module</t>
  </si>
  <si>
    <t>Stück</t>
  </si>
  <si>
    <t>m²</t>
  </si>
  <si>
    <t>Absorberfläche pro Modul</t>
  </si>
  <si>
    <t>Ertrag für die Anlage</t>
  </si>
  <si>
    <t>BaFa-Förderung</t>
  </si>
  <si>
    <t>Maximale Kosten für diese Anlage</t>
  </si>
  <si>
    <t>Anlage zur Trinkwassererwärmung</t>
  </si>
  <si>
    <t>Anlage zur Heizungsunterstützung</t>
  </si>
  <si>
    <t>Zusammensetzung des Endenergiebedarfs</t>
  </si>
  <si>
    <t xml:space="preserve"> 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</si>
  <si>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</si>
  <si>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</si>
  <si>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</si>
  <si>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</si>
  <si>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</si>
  <si>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</si>
  <si>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</si>
  <si>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</si>
  <si>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</si>
  <si>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</si>
  <si>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</si>
  <si>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</si>
  <si>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</si>
  <si>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</si>
  <si>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</si>
  <si>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</si>
  <si>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3.6</t>
  </si>
  <si>
    <t>3.7</t>
  </si>
  <si>
    <t>3.8</t>
  </si>
  <si>
    <t>4.1</t>
  </si>
  <si>
    <t>4.2</t>
  </si>
  <si>
    <t>4.4</t>
  </si>
  <si>
    <t>4.5</t>
  </si>
  <si>
    <t>5.1</t>
  </si>
  <si>
    <t>5.2</t>
  </si>
  <si>
    <t>5.3</t>
  </si>
  <si>
    <t>5.4</t>
  </si>
  <si>
    <t>5.5</t>
  </si>
  <si>
    <t>6.1</t>
  </si>
  <si>
    <t>6.2</t>
  </si>
  <si>
    <t>6.3</t>
  </si>
  <si>
    <t>6.4</t>
  </si>
  <si>
    <t>6.5</t>
  </si>
  <si>
    <t>6.7</t>
  </si>
  <si>
    <t>7.1</t>
  </si>
  <si>
    <t>7.2</t>
  </si>
  <si>
    <t>7.3</t>
  </si>
  <si>
    <t>7.4</t>
  </si>
  <si>
    <t>8.1</t>
  </si>
  <si>
    <t>8.2</t>
  </si>
  <si>
    <t>8.3</t>
  </si>
  <si>
    <t>8.4</t>
  </si>
  <si>
    <t>8.5</t>
  </si>
  <si>
    <t>8.6</t>
  </si>
  <si>
    <t>9.1</t>
  </si>
  <si>
    <t>9.2</t>
  </si>
  <si>
    <t>9.3</t>
  </si>
  <si>
    <t>9.4</t>
  </si>
  <si>
    <t>10.1</t>
  </si>
  <si>
    <t>10.2</t>
  </si>
  <si>
    <t>11.1</t>
  </si>
  <si>
    <t>11.2</t>
  </si>
  <si>
    <t>11.3</t>
  </si>
  <si>
    <t>11.4</t>
  </si>
  <si>
    <t>11.5</t>
  </si>
  <si>
    <t>11.6</t>
  </si>
  <si>
    <t>11.7</t>
  </si>
  <si>
    <t>12</t>
  </si>
  <si>
    <t>Gasanschluss</t>
  </si>
  <si>
    <t>Investitionskosten (grob)</t>
  </si>
  <si>
    <t>Demontage alte Anlage /Entsorgung</t>
  </si>
  <si>
    <t>Kessel mit Montage</t>
  </si>
  <si>
    <t>Schornsteinsanierung</t>
  </si>
  <si>
    <t>Frischwasserstation</t>
  </si>
  <si>
    <t xml:space="preserve">Heizkreisstation, Zirkulation, Montagematerial    </t>
  </si>
  <si>
    <t>Hydraulischer Abgleich mit Berechnung</t>
  </si>
  <si>
    <t>Pelletlager</t>
  </si>
  <si>
    <t>Summe Netto</t>
  </si>
  <si>
    <t>USt</t>
  </si>
  <si>
    <t>Summe Brutto</t>
  </si>
  <si>
    <t>Kosten</t>
  </si>
  <si>
    <t>Laufende Kosten (grob)</t>
  </si>
  <si>
    <t>Schornsteinfeger</t>
  </si>
  <si>
    <t>Versicherung/Überwachung</t>
  </si>
  <si>
    <t>Verbrauchsgebunden Kosten</t>
  </si>
  <si>
    <t>Gas-Brennwert</t>
  </si>
  <si>
    <t>Luft-Wärmepumpe</t>
  </si>
  <si>
    <t>Elektroinstallation</t>
  </si>
  <si>
    <t>Schornsteinfeger Abnahme</t>
  </si>
  <si>
    <t>Wartung in €/a</t>
  </si>
  <si>
    <t>Hilfsenergie (1.000kWh * 30Cent/kWh)</t>
  </si>
  <si>
    <t>Pufferspeicher/ WW-Speicher</t>
  </si>
  <si>
    <t>Trinkwasserwärmepumpe mit Montage</t>
  </si>
  <si>
    <t xml:space="preserve">Heizstab mit PV-Regelung mit Montage </t>
  </si>
  <si>
    <t>Gas-Brennwert mit PV-Heizstab</t>
  </si>
  <si>
    <t>Gas-Brennwert mit TW-WP</t>
  </si>
  <si>
    <t>Gas-Brennwert mit th. Solaranlage</t>
  </si>
  <si>
    <t>thermische Solaranlage 2 Module ca. 4m²</t>
  </si>
  <si>
    <t>Endenergieverbrauch [kWh/a] Heizung</t>
  </si>
  <si>
    <t>Endenergieverbrauch WW (2 Personen)</t>
  </si>
  <si>
    <t>Strom aus dem Netz</t>
  </si>
  <si>
    <t>PV-Strom</t>
  </si>
  <si>
    <t>Invest</t>
  </si>
  <si>
    <t>Kosten in €/a</t>
  </si>
  <si>
    <t>Kosten €/a</t>
  </si>
  <si>
    <t>Laufende Betriebskosten pro Jahr</t>
  </si>
  <si>
    <t>Energiekosten pro Jahr</t>
  </si>
  <si>
    <t>Kosten in 20 Jahren statisch</t>
  </si>
  <si>
    <t>Laufende Betriebskosten pin 20 Jahren</t>
  </si>
  <si>
    <t>Energiekosten in 20 Jahren</t>
  </si>
  <si>
    <t>Luft-Wärmepumpe mit PV-Anlage</t>
  </si>
  <si>
    <t>Konstanten</t>
  </si>
  <si>
    <t>Statisch</t>
  </si>
  <si>
    <t>mit 2% Preissteigerung</t>
  </si>
  <si>
    <t>mit 4% Preissteigerung</t>
  </si>
  <si>
    <t>Luft-Wärmepumpe mit JAZ = 3</t>
  </si>
  <si>
    <t>Warmwasserenergiebedarf (1000kWh/Person)</t>
  </si>
  <si>
    <t>Bewertung</t>
  </si>
  <si>
    <t>JAZ der WP</t>
  </si>
  <si>
    <t>Preiserhöhung 2% p.a.</t>
  </si>
  <si>
    <t>Preiserhöhung 4% p.a.</t>
  </si>
  <si>
    <t>Kosten über 20 Jahre</t>
  </si>
  <si>
    <t>Gaspreis [€/kWh]</t>
  </si>
  <si>
    <t>Strompreis [€/kWh]</t>
  </si>
  <si>
    <t>Pelletpreis [€/kWh]</t>
  </si>
  <si>
    <t>PV-Strom [€/kWh]</t>
  </si>
  <si>
    <t>Heizenergiebedarf [kWh]</t>
  </si>
  <si>
    <t>%</t>
  </si>
  <si>
    <t>Förderung ca.</t>
  </si>
  <si>
    <t>Anschaffungskosten</t>
  </si>
  <si>
    <t>Laufende Kosten €/a</t>
  </si>
  <si>
    <t>verbrauchsgebundene Kosten in €/a</t>
  </si>
  <si>
    <t>Zusammenfassung</t>
  </si>
  <si>
    <t>Anschaffungskosten/Invest</t>
  </si>
  <si>
    <t>verbrauchsgebundene Energiekosten pro Jahr</t>
  </si>
  <si>
    <t xml:space="preserve">Endenergieverbrauch WW </t>
  </si>
  <si>
    <t>Kosten in 20 Jahren2%</t>
  </si>
  <si>
    <t>Kosten in 20 Jahren 4%</t>
  </si>
  <si>
    <t>Förderung Biomasse max.</t>
  </si>
  <si>
    <t>€/kWh</t>
  </si>
  <si>
    <t>65% einzuhalten?</t>
  </si>
  <si>
    <t>Komplexität der Anlage</t>
  </si>
  <si>
    <t>Bauwerkseignung</t>
  </si>
  <si>
    <t>Sole-Wasser-Wärmepumpe mit saisonalem Speicher</t>
  </si>
  <si>
    <t>Klimageräte mit Brauchwasser Wärmepumpe</t>
  </si>
  <si>
    <t>Fernwärme</t>
  </si>
  <si>
    <t>Lüftungsanlage mit Wärmerückgewinnung</t>
  </si>
  <si>
    <t>Gas/Öl mit thermischer Solaranlage zur Brauchwassererwärmung</t>
  </si>
  <si>
    <t>Gas/Öl mit thermischer Solaranlage zur Brauchwassererwärmung und Heizungsunterstützung</t>
  </si>
  <si>
    <t>Wärmepumpe mit Gas/Öl als Spitzenlastkessel</t>
  </si>
  <si>
    <t>Wärmepumpe mit Infrarotheizplatten zur Spitzenlastabdeckung (Bad)</t>
  </si>
  <si>
    <t>Alle</t>
  </si>
  <si>
    <t>Neubau</t>
  </si>
  <si>
    <t>niedrige Systemtemperaturen vorteilhaft</t>
  </si>
  <si>
    <t>Flächenbedarf für Bohrung , Körbe oder Flächenkollektor  beachten</t>
  </si>
  <si>
    <t>Lüftungsanlage mit Wärmepumpe</t>
  </si>
  <si>
    <t>Passivhaus, Niedrigstenergiehaus</t>
  </si>
  <si>
    <t>Bohrung Sonde, Kollektor oder Körbe</t>
  </si>
  <si>
    <t>Bohrung Sonde, Kollektor oder Körbe, Speicher</t>
  </si>
  <si>
    <t>Zwei Heizsysteme</t>
  </si>
  <si>
    <t>Lüftungsanlage mit Wärmepumpe und Pellet-Kaminofen mit Wassertasche</t>
  </si>
  <si>
    <t>Pelletheizung</t>
  </si>
  <si>
    <t>große thermische Solaranlage mit Pelletkaminofen mit Wassertasche</t>
  </si>
  <si>
    <t>Öltank</t>
  </si>
  <si>
    <t>Speicher, Pelletlager</t>
  </si>
  <si>
    <t>Heizsystem</t>
  </si>
  <si>
    <t>Lager</t>
  </si>
  <si>
    <t>Handbestückung</t>
  </si>
  <si>
    <t>Luft-Luft-WP wenig effizient</t>
  </si>
  <si>
    <t>begrenzter Rohstoff</t>
  </si>
  <si>
    <t>Wärmepumpe mit Pellet-Kaminofen mit Wassertasche</t>
  </si>
  <si>
    <t>Alle außer Niedrigenergiehäuser</t>
  </si>
  <si>
    <t>Alle außer Niedrigstenergiehäuser</t>
  </si>
  <si>
    <t>Im Altbau?</t>
  </si>
  <si>
    <t>im Neubau gering</t>
  </si>
  <si>
    <t>thermische Qualität sollte niedrige Systemtemperaturen ermöglichen; Vorlauf &lt; 50°C</t>
  </si>
  <si>
    <t>Handbestückung, Feinstaub</t>
  </si>
  <si>
    <t>?</t>
  </si>
  <si>
    <t>nein</t>
  </si>
  <si>
    <t>ja</t>
  </si>
  <si>
    <t>gering</t>
  </si>
  <si>
    <t>mittel</t>
  </si>
  <si>
    <t>Standort sorgfältig wählen
Leise WP wählen
SCOP beachten</t>
  </si>
  <si>
    <t>SCOP beachten</t>
  </si>
  <si>
    <t xml:space="preserve">Förderung Wärmepumpe </t>
  </si>
  <si>
    <t>Förderung Heizungsoptimierung</t>
  </si>
  <si>
    <t>Vorlauftemperatur</t>
  </si>
  <si>
    <t>°C</t>
  </si>
  <si>
    <t>Leistung WP</t>
  </si>
  <si>
    <t>Preis WP</t>
  </si>
  <si>
    <t>Lesistungsklasse</t>
  </si>
  <si>
    <t>&lt;8kW</t>
  </si>
  <si>
    <t>&lt;12kW</t>
  </si>
  <si>
    <t>&lt;14kW</t>
  </si>
  <si>
    <t>&lt;20kW</t>
  </si>
  <si>
    <t>&gt;=20kW</t>
  </si>
  <si>
    <t>Montage 16h</t>
  </si>
  <si>
    <t>Berechneter Preis</t>
  </si>
  <si>
    <t>Gesamtkosten in 20 Jahren statisch</t>
  </si>
  <si>
    <t>Wärme- und Energiebilanzen</t>
  </si>
  <si>
    <t>Verluste durch Transmission</t>
  </si>
  <si>
    <t>Außenwandflächen</t>
  </si>
  <si>
    <t>Dachflächen</t>
  </si>
  <si>
    <t>unterer Gebäudeabschluss</t>
  </si>
  <si>
    <t>Fenster</t>
  </si>
  <si>
    <t>Türen</t>
  </si>
  <si>
    <t>Wärmebrücken</t>
  </si>
  <si>
    <t>Verluste durch Lüftung</t>
  </si>
  <si>
    <t>Wärmegewinne</t>
  </si>
  <si>
    <t>interne Gewinne</t>
  </si>
  <si>
    <t>Solare Gewinne</t>
  </si>
  <si>
    <r>
      <t>Heizwärmebedarf Q</t>
    </r>
    <r>
      <rPr>
        <b/>
        <sz val="9"/>
        <color theme="1"/>
        <rFont val="Calibri"/>
        <family val="2"/>
        <scheme val="minor"/>
      </rPr>
      <t>h</t>
    </r>
  </si>
  <si>
    <t>Wärmeeinträge</t>
  </si>
  <si>
    <t>durch WW-Wasserbereitstellung</t>
  </si>
  <si>
    <t>durch Lüftungsanlage</t>
  </si>
  <si>
    <t>Verluste der Anlagentechnik</t>
  </si>
  <si>
    <t>durch Übergabe</t>
  </si>
  <si>
    <t>durch Verteilung</t>
  </si>
  <si>
    <t>durch Speicherung</t>
  </si>
  <si>
    <t>Endenergie Wärmeenergie</t>
  </si>
  <si>
    <t>Hilfsenergie</t>
  </si>
  <si>
    <t>Endenergie Heizung gesamt</t>
  </si>
  <si>
    <t>durch Erzeugung (Wärmepumpe)</t>
  </si>
  <si>
    <t>KfW-55 Haus</t>
  </si>
  <si>
    <t>ca. 180m² Wohnfläche</t>
  </si>
  <si>
    <t>Baujahr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</si>
</sst>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/>
    <xf numFmtId="0" fontId="5" fillId="0" borderId="1" xfId="0" applyFont="1" applyBorder="1" applyAlignment="1">
      <alignment vertical="center"/>
    </xf>
    <xf numFmtId="3" fontId="0" fillId="0" borderId="1" xfId="0" applyNumberFormat="1" applyBorder="1"/>
    <xf numFmtId="3" fontId="1" fillId="0" borderId="1" xfId="0" applyNumberFormat="1" applyFont="1" applyBorder="1"/>
    <xf numFmtId="0" fontId="1" fillId="0" borderId="0" xfId="0" applyFont="1" applyAlignment="1">
      <alignment horizontal="center" wrapText="1"/>
    </xf>
    <xf numFmtId="3" fontId="0" fillId="2" borderId="0" xfId="0" applyNumberFormat="1" applyFill="1"/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1" fontId="0" fillId="0" borderId="1" xfId="0" applyNumberFormat="1" applyBorder="1"/>
    <xf numFmtId="0" fontId="1" fillId="0" borderId="1" xfId="0" applyFont="1" applyBorder="1"/>
    <xf numFmtId="0" fontId="1" fillId="0" borderId="0" xfId="0" applyFont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  <xf numFmtId="3" fontId="1" fillId="0" borderId="0" xfId="0" applyNumberFormat="1" applyFont="1"/>
    <xf numFmtId="0" fontId="1" fillId="0" borderId="0" xfId="0" applyFont="1" applyAlignment="1">
      <alignment vertical="center"/>
    </xf>
    <xf numFmtId="164" fontId="6" fillId="2" borderId="0" xfId="0" applyNumberFormat="1" applyFont="1" applyFill="1"/>
    <xf numFmtId="3" fontId="6" fillId="2" borderId="0" xfId="0" applyNumberFormat="1" applyFont="1" applyFill="1"/>
    <xf numFmtId="0" fontId="5" fillId="3" borderId="1" xfId="0" applyFont="1" applyFill="1" applyBorder="1" applyAlignment="1">
      <alignment vertical="center"/>
    </xf>
    <xf numFmtId="3" fontId="1" fillId="3" borderId="1" xfId="0" applyNumberFormat="1" applyFont="1" applyFill="1" applyBorder="1"/>
    <xf numFmtId="0" fontId="4" fillId="3" borderId="1" xfId="0" applyFont="1" applyFill="1" applyBorder="1" applyAlignment="1">
      <alignment vertical="center"/>
    </xf>
    <xf numFmtId="0" fontId="0" fillId="3" borderId="1" xfId="0" applyFill="1" applyBorder="1"/>
    <xf numFmtId="3" fontId="0" fillId="3" borderId="1" xfId="0" applyNumberFormat="1" applyFill="1" applyBorder="1"/>
    <xf numFmtId="1" fontId="6" fillId="2" borderId="0" xfId="0" applyNumberFormat="1" applyFont="1" applyFill="1"/>
    <xf numFmtId="0" fontId="1" fillId="3" borderId="1" xfId="0" applyFont="1" applyFill="1" applyBorder="1"/>
    <xf numFmtId="3" fontId="1" fillId="0" borderId="2" xfId="0" applyNumberFormat="1" applyFont="1" applyBorder="1"/>
    <xf numFmtId="0" fontId="0" fillId="0" borderId="3" xfId="0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10" borderId="8" xfId="0" applyFill="1" applyBorder="1" applyAlignment="1">
      <alignment horizontal="center" vertical="top"/>
    </xf>
    <xf numFmtId="0" fontId="0" fillId="0" borderId="9" xfId="0" applyBorder="1" applyAlignment="1">
      <alignment horizontal="left" vertical="top" wrapText="1"/>
    </xf>
    <xf numFmtId="0" fontId="0" fillId="0" borderId="9" xfId="0" applyBorder="1"/>
    <xf numFmtId="0" fontId="0" fillId="2" borderId="9" xfId="0" applyFill="1" applyBorder="1"/>
    <xf numFmtId="0" fontId="0" fillId="9" borderId="11" xfId="0" applyFill="1" applyBorder="1" applyAlignment="1">
      <alignment horizontal="center" vertical="top"/>
    </xf>
    <xf numFmtId="0" fontId="0" fillId="0" borderId="12" xfId="0" applyBorder="1" applyAlignment="1">
      <alignment horizontal="left" vertical="top" wrapText="1"/>
    </xf>
    <xf numFmtId="0" fontId="0" fillId="0" borderId="12" xfId="0" applyBorder="1"/>
    <xf numFmtId="0" fontId="0" fillId="5" borderId="12" xfId="0" applyFill="1" applyBorder="1" applyAlignment="1">
      <alignment horizontal="center" vertical="top"/>
    </xf>
    <xf numFmtId="0" fontId="0" fillId="5" borderId="12" xfId="0" applyFill="1" applyBorder="1" applyAlignment="1">
      <alignment horizontal="center" vertical="top" wrapText="1"/>
    </xf>
    <xf numFmtId="0" fontId="0" fillId="6" borderId="8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 wrapText="1"/>
    </xf>
    <xf numFmtId="0" fontId="0" fillId="5" borderId="9" xfId="0" applyFill="1" applyBorder="1" applyAlignment="1">
      <alignment horizontal="center" vertical="top" wrapText="1"/>
    </xf>
    <xf numFmtId="0" fontId="0" fillId="7" borderId="8" xfId="0" applyFill="1" applyBorder="1" applyAlignment="1">
      <alignment horizontal="center" vertical="top"/>
    </xf>
    <xf numFmtId="0" fontId="0" fillId="5" borderId="9" xfId="0" applyFill="1" applyBorder="1" applyAlignment="1">
      <alignment horizontal="center" vertical="top"/>
    </xf>
    <xf numFmtId="0" fontId="0" fillId="8" borderId="8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0" fillId="8" borderId="14" xfId="0" applyFill="1" applyBorder="1" applyAlignment="1">
      <alignment horizontal="center" vertical="top"/>
    </xf>
    <xf numFmtId="0" fontId="0" fillId="0" borderId="15" xfId="0" applyBorder="1" applyAlignment="1">
      <alignment horizontal="left" vertical="top" wrapText="1"/>
    </xf>
    <xf numFmtId="0" fontId="0" fillId="0" borderId="15" xfId="0" applyBorder="1"/>
    <xf numFmtId="0" fontId="0" fillId="5" borderId="15" xfId="0" applyFill="1" applyBorder="1" applyAlignment="1">
      <alignment horizontal="center" vertical="top"/>
    </xf>
    <xf numFmtId="0" fontId="0" fillId="5" borderId="15" xfId="0" applyFill="1" applyBorder="1" applyAlignment="1">
      <alignment horizontal="center" vertical="top" wrapText="1"/>
    </xf>
    <xf numFmtId="0" fontId="0" fillId="8" borderId="17" xfId="0" applyFill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center" vertical="top"/>
    </xf>
    <xf numFmtId="0" fontId="0" fillId="5" borderId="1" xfId="0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top"/>
    </xf>
    <xf numFmtId="0" fontId="0" fillId="7" borderId="14" xfId="0" applyFill="1" applyBorder="1" applyAlignment="1">
      <alignment horizontal="center" vertical="top"/>
    </xf>
    <xf numFmtId="0" fontId="0" fillId="2" borderId="15" xfId="0" applyFill="1" applyBorder="1" applyAlignment="1">
      <alignment horizontal="left" vertical="top" wrapText="1"/>
    </xf>
    <xf numFmtId="0" fontId="0" fillId="7" borderId="19" xfId="0" applyFill="1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2" borderId="3" xfId="0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 wrapText="1"/>
    </xf>
    <xf numFmtId="0" fontId="0" fillId="7" borderId="17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6" borderId="14" xfId="0" applyFill="1" applyBorder="1" applyAlignment="1">
      <alignment horizontal="center" vertical="top"/>
    </xf>
    <xf numFmtId="0" fontId="0" fillId="2" borderId="15" xfId="0" applyFill="1" applyBorder="1" applyAlignment="1">
      <alignment horizontal="center" vertical="top"/>
    </xf>
    <xf numFmtId="0" fontId="0" fillId="10" borderId="14" xfId="0" applyFill="1" applyBorder="1" applyAlignment="1">
      <alignment horizontal="center" vertical="top"/>
    </xf>
    <xf numFmtId="0" fontId="0" fillId="10" borderId="17" xfId="0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6" borderId="17" xfId="0" applyFill="1" applyBorder="1" applyAlignment="1">
      <alignment horizontal="center" vertical="top"/>
    </xf>
    <xf numFmtId="0" fontId="0" fillId="4" borderId="15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6" fillId="2" borderId="0" xfId="0" applyFont="1" applyFill="1"/>
    <xf numFmtId="0" fontId="1" fillId="0" borderId="4" xfId="0" applyFont="1" applyBorder="1"/>
    <xf numFmtId="0" fontId="0" fillId="0" borderId="4" xfId="0" applyBorder="1"/>
    <xf numFmtId="0" fontId="0" fillId="0" borderId="4" xfId="0" applyBorder="1" applyAlignment="1">
      <alignment horizontal="left"/>
    </xf>
    <xf numFmtId="3" fontId="0" fillId="0" borderId="4" xfId="0" applyNumberFormat="1" applyBorder="1"/>
    <xf numFmtId="0" fontId="0" fillId="0" borderId="4" xfId="0" applyBorder="1" applyAlignment="1">
      <alignment horizontal="left" indent="1"/>
    </xf>
    <xf numFmtId="3" fontId="1" fillId="0" borderId="4" xfId="0" applyNumberFormat="1" applyFont="1" applyBorder="1"/>
    <xf numFmtId="165" fontId="6" fillId="0" borderId="0" xfId="0" applyNumberFormat="1" applyFont="1"/>
    <xf numFmtId="0" fontId="0" fillId="0" borderId="0" xfId="0" applyAlignment="1">
      <alignment horizontal="left" wrapText="1"/>
    </xf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35E8B-F243-4599-91D2-19ABFD875A78}">
  <dimension ref="A2:G84"/>
  <sheetViews>
    <sheetView topLeftCell="A14" workbookViewId="0">
      <selection activeCell="A2" sqref="A2"/>
    </sheetView>
  </sheetViews>
  <sheetFormatPr baseColWidth="10" defaultRowHeight="12.75" x14ac:dyDescent="0.2"/>
  <cols>
    <col min="1" max="1" width="5.140625" style="6" customWidth="1"/>
    <col min="2" max="2" width="10.42578125" style="6" customWidth="1"/>
    <col min="3" max="3" width="15.85546875" style="6" customWidth="1"/>
    <col min="4" max="4" width="19" style="6" customWidth="1"/>
    <col min="5" max="6" width="11.42578125" style="6"/>
    <col min="7" max="7" width="45" style="6" customWidth="1"/>
    <col min="8" max="16384" width="11.42578125" style="6"/>
  </cols>
  <sheetData>
    <row r="2" spans="1:7" ht="15" customHeight="1" x14ac:dyDescent="0.2">
      <c r="A2" s="6" t="s">
        <v>12</v>
      </c>
      <c r="B2" s="7" t="s">
        <v>13</v>
      </c>
      <c r="C2" s="7" t="s">
        <v>20</v>
      </c>
      <c r="D2" s="7" t="s">
        <v>12</v>
      </c>
      <c r="E2" s="8" t="s">
        <v>6</v>
      </c>
      <c r="F2" s="8" t="s">
        <v>7</v>
      </c>
      <c r="G2" s="7" t="s">
        <v>22</v>
      </c>
    </row>
    <row r="3" spans="1:7" x14ac:dyDescent="0.2">
      <c r="A3" s="9" t="s">
        <v>93</v>
      </c>
      <c r="B3" s="6" t="s">
        <v>14</v>
      </c>
      <c r="C3" s="6" t="s">
        <v>0</v>
      </c>
      <c r="D3" s="6" t="s">
        <v>11</v>
      </c>
      <c r="E3" s="10" t="s">
        <v>17</v>
      </c>
      <c r="F3" s="10" t="s">
        <v>17</v>
      </c>
    </row>
    <row r="4" spans="1:7" ht="15" customHeight="1" x14ac:dyDescent="0.2">
      <c r="A4" s="9"/>
      <c r="D4" s="6" t="s">
        <v>18</v>
      </c>
      <c r="G4" s="6" t="s">
        <v>19</v>
      </c>
    </row>
    <row r="5" spans="1:7" x14ac:dyDescent="0.2">
      <c r="A5" s="9" t="s">
        <v>94</v>
      </c>
      <c r="D5" s="6" t="s">
        <v>21</v>
      </c>
      <c r="E5" s="11">
        <v>0.6</v>
      </c>
      <c r="F5" s="10"/>
    </row>
    <row r="6" spans="1:7" ht="15" customHeight="1" x14ac:dyDescent="0.2">
      <c r="A6" s="9" t="s">
        <v>95</v>
      </c>
      <c r="D6" s="6" t="s">
        <v>21</v>
      </c>
      <c r="E6" s="11">
        <v>0.6</v>
      </c>
      <c r="F6" s="11">
        <v>0.2</v>
      </c>
    </row>
    <row r="7" spans="1:7" x14ac:dyDescent="0.2">
      <c r="A7" s="9"/>
      <c r="C7" s="6" t="s">
        <v>16</v>
      </c>
      <c r="D7" s="6" t="s">
        <v>11</v>
      </c>
      <c r="E7" s="10"/>
      <c r="F7" s="10"/>
      <c r="G7" s="6" t="s">
        <v>24</v>
      </c>
    </row>
    <row r="8" spans="1:7" ht="15" customHeight="1" x14ac:dyDescent="0.2">
      <c r="A8" s="9" t="s">
        <v>96</v>
      </c>
      <c r="D8" s="6" t="s">
        <v>18</v>
      </c>
      <c r="E8" s="10" t="s">
        <v>17</v>
      </c>
      <c r="F8" s="10" t="s">
        <v>17</v>
      </c>
    </row>
    <row r="9" spans="1:7" x14ac:dyDescent="0.2">
      <c r="A9" s="9" t="s">
        <v>97</v>
      </c>
      <c r="D9" s="6" t="s">
        <v>21</v>
      </c>
      <c r="E9" s="11">
        <v>0.6</v>
      </c>
      <c r="F9" s="10"/>
    </row>
    <row r="10" spans="1:7" ht="15" customHeight="1" x14ac:dyDescent="0.2">
      <c r="A10" s="9" t="s">
        <v>98</v>
      </c>
      <c r="D10" s="6" t="s">
        <v>21</v>
      </c>
      <c r="E10" s="11">
        <v>0.6</v>
      </c>
      <c r="F10" s="11">
        <v>0.2</v>
      </c>
    </row>
    <row r="11" spans="1:7" x14ac:dyDescent="0.2">
      <c r="A11" s="9"/>
      <c r="E11" s="10"/>
      <c r="F11" s="10"/>
    </row>
    <row r="12" spans="1:7" ht="15" customHeight="1" x14ac:dyDescent="0.2">
      <c r="A12" s="9" t="s">
        <v>99</v>
      </c>
      <c r="B12" s="6" t="s">
        <v>15</v>
      </c>
      <c r="C12" s="6" t="s">
        <v>1</v>
      </c>
      <c r="D12" s="6" t="s">
        <v>11</v>
      </c>
      <c r="E12" s="10" t="s">
        <v>17</v>
      </c>
      <c r="F12" s="10" t="s">
        <v>17</v>
      </c>
    </row>
    <row r="13" spans="1:7" x14ac:dyDescent="0.2">
      <c r="A13" s="9"/>
      <c r="D13" s="6" t="s">
        <v>18</v>
      </c>
      <c r="G13" s="6" t="s">
        <v>19</v>
      </c>
    </row>
    <row r="14" spans="1:7" ht="15" customHeight="1" x14ac:dyDescent="0.2">
      <c r="A14" s="9" t="s">
        <v>100</v>
      </c>
      <c r="D14" s="6" t="s">
        <v>21</v>
      </c>
      <c r="E14" s="11">
        <v>0.6</v>
      </c>
      <c r="F14" s="10"/>
    </row>
    <row r="15" spans="1:7" x14ac:dyDescent="0.2">
      <c r="A15" s="9" t="s">
        <v>101</v>
      </c>
      <c r="D15" s="6" t="s">
        <v>21</v>
      </c>
      <c r="E15" s="11">
        <v>0.6</v>
      </c>
      <c r="F15" s="11">
        <v>0.2</v>
      </c>
    </row>
    <row r="16" spans="1:7" ht="15" customHeight="1" x14ac:dyDescent="0.2">
      <c r="A16" s="9"/>
      <c r="C16" s="6" t="s">
        <v>16</v>
      </c>
      <c r="D16" s="6" t="s">
        <v>11</v>
      </c>
      <c r="E16" s="10"/>
      <c r="F16" s="10"/>
      <c r="G16" s="6" t="s">
        <v>24</v>
      </c>
    </row>
    <row r="17" spans="1:7" x14ac:dyDescent="0.2">
      <c r="A17" s="9" t="s">
        <v>102</v>
      </c>
      <c r="D17" s="6" t="s">
        <v>18</v>
      </c>
      <c r="E17" s="10" t="s">
        <v>17</v>
      </c>
      <c r="F17" s="10" t="s">
        <v>17</v>
      </c>
    </row>
    <row r="18" spans="1:7" ht="15" customHeight="1" x14ac:dyDescent="0.2">
      <c r="A18" s="9" t="s">
        <v>103</v>
      </c>
      <c r="D18" s="6" t="s">
        <v>21</v>
      </c>
      <c r="E18" s="11">
        <v>0.6</v>
      </c>
      <c r="F18" s="10"/>
    </row>
    <row r="19" spans="1:7" x14ac:dyDescent="0.2">
      <c r="A19" s="9" t="s">
        <v>104</v>
      </c>
      <c r="D19" s="6" t="s">
        <v>21</v>
      </c>
      <c r="E19" s="11">
        <v>0.6</v>
      </c>
      <c r="F19" s="11">
        <v>0.2</v>
      </c>
    </row>
    <row r="20" spans="1:7" ht="15" customHeight="1" x14ac:dyDescent="0.2">
      <c r="A20" s="9"/>
      <c r="E20" s="10"/>
      <c r="F20" s="10"/>
    </row>
    <row r="21" spans="1:7" x14ac:dyDescent="0.2">
      <c r="A21" s="9" t="s">
        <v>105</v>
      </c>
      <c r="B21" s="6" t="s">
        <v>25</v>
      </c>
      <c r="C21" s="6" t="s">
        <v>2</v>
      </c>
      <c r="D21" s="6" t="s">
        <v>11</v>
      </c>
      <c r="E21" s="10" t="s">
        <v>17</v>
      </c>
      <c r="F21" s="10" t="s">
        <v>17</v>
      </c>
    </row>
    <row r="22" spans="1:7" ht="15" customHeight="1" x14ac:dyDescent="0.2">
      <c r="A22" s="9"/>
      <c r="D22" s="6" t="s">
        <v>18</v>
      </c>
      <c r="G22" s="6" t="s">
        <v>19</v>
      </c>
    </row>
    <row r="23" spans="1:7" x14ac:dyDescent="0.2">
      <c r="A23" s="9" t="s">
        <v>106</v>
      </c>
      <c r="D23" s="6" t="s">
        <v>21</v>
      </c>
      <c r="E23" s="11">
        <v>0.6</v>
      </c>
      <c r="F23" s="10"/>
    </row>
    <row r="24" spans="1:7" ht="15" customHeight="1" x14ac:dyDescent="0.2">
      <c r="A24" s="9" t="s">
        <v>107</v>
      </c>
      <c r="D24" s="6" t="s">
        <v>21</v>
      </c>
      <c r="E24" s="11">
        <v>0.6</v>
      </c>
      <c r="F24" s="11">
        <v>0.2</v>
      </c>
    </row>
    <row r="25" spans="1:7" x14ac:dyDescent="0.2">
      <c r="A25" s="9" t="s">
        <v>108</v>
      </c>
      <c r="D25" s="6" t="s">
        <v>31</v>
      </c>
      <c r="E25" s="10" t="s">
        <v>17</v>
      </c>
      <c r="F25" s="10" t="s">
        <v>17</v>
      </c>
    </row>
    <row r="26" spans="1:7" ht="15" customHeight="1" x14ac:dyDescent="0.2">
      <c r="A26" s="9"/>
      <c r="C26" s="6" t="s">
        <v>26</v>
      </c>
      <c r="D26" s="6" t="s">
        <v>11</v>
      </c>
      <c r="E26" s="10"/>
      <c r="F26" s="10"/>
      <c r="G26" s="6" t="s">
        <v>28</v>
      </c>
    </row>
    <row r="27" spans="1:7" x14ac:dyDescent="0.2">
      <c r="A27" s="9" t="s">
        <v>109</v>
      </c>
      <c r="D27" s="6" t="s">
        <v>18</v>
      </c>
      <c r="E27" s="10" t="s">
        <v>17</v>
      </c>
      <c r="F27" s="10" t="s">
        <v>17</v>
      </c>
    </row>
    <row r="28" spans="1:7" ht="15" customHeight="1" x14ac:dyDescent="0.2">
      <c r="A28" s="9" t="s">
        <v>110</v>
      </c>
      <c r="D28" s="6" t="s">
        <v>21</v>
      </c>
      <c r="E28" s="11">
        <v>0.6</v>
      </c>
      <c r="F28" s="10"/>
      <c r="G28" s="6" t="s">
        <v>29</v>
      </c>
    </row>
    <row r="29" spans="1:7" x14ac:dyDescent="0.2">
      <c r="A29" s="9" t="s">
        <v>111</v>
      </c>
      <c r="D29" s="6" t="s">
        <v>21</v>
      </c>
      <c r="E29" s="11">
        <v>0.6</v>
      </c>
      <c r="F29" s="11">
        <v>0.2</v>
      </c>
      <c r="G29" s="6" t="s">
        <v>30</v>
      </c>
    </row>
    <row r="30" spans="1:7" ht="15" customHeight="1" x14ac:dyDescent="0.2">
      <c r="A30" s="9" t="s">
        <v>112</v>
      </c>
      <c r="D30" s="6" t="s">
        <v>31</v>
      </c>
      <c r="E30" s="10" t="s">
        <v>17</v>
      </c>
      <c r="F30" s="10" t="s">
        <v>17</v>
      </c>
    </row>
    <row r="31" spans="1:7" x14ac:dyDescent="0.2">
      <c r="A31" s="9"/>
      <c r="E31" s="10"/>
      <c r="F31" s="10"/>
    </row>
    <row r="32" spans="1:7" ht="15" customHeight="1" x14ac:dyDescent="0.2">
      <c r="A32" s="9"/>
      <c r="B32" s="6" t="s">
        <v>27</v>
      </c>
      <c r="C32" s="6" t="s">
        <v>3</v>
      </c>
      <c r="D32" s="6" t="s">
        <v>11</v>
      </c>
      <c r="E32" s="10"/>
      <c r="F32" s="10"/>
    </row>
    <row r="33" spans="1:7" x14ac:dyDescent="0.2">
      <c r="A33" s="9" t="s">
        <v>113</v>
      </c>
      <c r="D33" s="6" t="s">
        <v>18</v>
      </c>
      <c r="E33" s="10" t="s">
        <v>17</v>
      </c>
      <c r="F33" s="10" t="s">
        <v>17</v>
      </c>
    </row>
    <row r="34" spans="1:7" ht="15" customHeight="1" x14ac:dyDescent="0.2">
      <c r="A34" s="9" t="s">
        <v>114</v>
      </c>
      <c r="D34" s="6" t="s">
        <v>21</v>
      </c>
      <c r="E34" s="11">
        <v>0.6</v>
      </c>
      <c r="F34" s="10"/>
      <c r="G34" s="6" t="s">
        <v>29</v>
      </c>
    </row>
    <row r="35" spans="1:7" x14ac:dyDescent="0.2">
      <c r="A35" s="9" t="s">
        <v>115</v>
      </c>
      <c r="D35" s="6" t="s">
        <v>21</v>
      </c>
      <c r="E35" s="11">
        <v>0.6</v>
      </c>
      <c r="F35" s="11">
        <v>0.2</v>
      </c>
      <c r="G35" s="6" t="s">
        <v>30</v>
      </c>
    </row>
    <row r="36" spans="1:7" ht="15" customHeight="1" x14ac:dyDescent="0.2">
      <c r="A36" s="9" t="s">
        <v>116</v>
      </c>
      <c r="D36" s="6" t="s">
        <v>31</v>
      </c>
      <c r="E36" s="10" t="s">
        <v>17</v>
      </c>
      <c r="F36" s="10" t="s">
        <v>17</v>
      </c>
    </row>
    <row r="37" spans="1:7" x14ac:dyDescent="0.2">
      <c r="A37" s="9"/>
      <c r="E37" s="10"/>
      <c r="F37" s="10"/>
    </row>
    <row r="38" spans="1:7" ht="15" customHeight="1" x14ac:dyDescent="0.2">
      <c r="A38" s="9" t="s">
        <v>117</v>
      </c>
      <c r="B38" s="6" t="s">
        <v>36</v>
      </c>
      <c r="C38" s="6" t="s">
        <v>40</v>
      </c>
      <c r="D38" s="6" t="s">
        <v>11</v>
      </c>
      <c r="E38" s="10" t="s">
        <v>17</v>
      </c>
      <c r="F38" s="10" t="s">
        <v>17</v>
      </c>
      <c r="G38" s="6" t="s">
        <v>35</v>
      </c>
    </row>
    <row r="39" spans="1:7" x14ac:dyDescent="0.2">
      <c r="A39" s="9"/>
      <c r="D39" s="6" t="s">
        <v>18</v>
      </c>
      <c r="G39" s="6" t="s">
        <v>32</v>
      </c>
    </row>
    <row r="40" spans="1:7" ht="15" customHeight="1" x14ac:dyDescent="0.2">
      <c r="A40" s="9" t="s">
        <v>118</v>
      </c>
      <c r="D40" s="6" t="s">
        <v>21</v>
      </c>
      <c r="E40" s="11">
        <v>0.6</v>
      </c>
      <c r="F40" s="10"/>
      <c r="G40" s="6" t="s">
        <v>41</v>
      </c>
    </row>
    <row r="41" spans="1:7" x14ac:dyDescent="0.2">
      <c r="A41" s="9" t="s">
        <v>119</v>
      </c>
      <c r="D41" s="6" t="s">
        <v>21</v>
      </c>
      <c r="E41" s="11">
        <v>0.6</v>
      </c>
      <c r="F41" s="11">
        <v>0.2</v>
      </c>
      <c r="G41" s="6" t="s">
        <v>42</v>
      </c>
    </row>
    <row r="42" spans="1:7" ht="15" customHeight="1" x14ac:dyDescent="0.2">
      <c r="A42" s="9" t="s">
        <v>120</v>
      </c>
      <c r="D42" s="6" t="s">
        <v>33</v>
      </c>
      <c r="E42" s="10"/>
      <c r="F42" s="10" t="s">
        <v>17</v>
      </c>
      <c r="G42" s="6" t="s">
        <v>34</v>
      </c>
    </row>
    <row r="43" spans="1:7" x14ac:dyDescent="0.2">
      <c r="A43" s="9" t="s">
        <v>121</v>
      </c>
      <c r="D43" s="6" t="s">
        <v>38</v>
      </c>
      <c r="E43" s="10" t="s">
        <v>17</v>
      </c>
      <c r="F43" s="10" t="s">
        <v>17</v>
      </c>
      <c r="G43" s="6" t="s">
        <v>39</v>
      </c>
    </row>
    <row r="44" spans="1:7" ht="15" customHeight="1" x14ac:dyDescent="0.2">
      <c r="A44" s="9" t="s">
        <v>122</v>
      </c>
      <c r="B44" s="6" t="s">
        <v>45</v>
      </c>
      <c r="C44" s="6" t="s">
        <v>44</v>
      </c>
      <c r="D44" s="6" t="s">
        <v>11</v>
      </c>
      <c r="E44" s="10" t="s">
        <v>17</v>
      </c>
      <c r="F44" s="10" t="s">
        <v>17</v>
      </c>
    </row>
    <row r="45" spans="1:7" x14ac:dyDescent="0.2">
      <c r="A45" s="9"/>
      <c r="D45" s="6" t="s">
        <v>18</v>
      </c>
      <c r="G45" s="6" t="s">
        <v>32</v>
      </c>
    </row>
    <row r="46" spans="1:7" ht="15" customHeight="1" x14ac:dyDescent="0.2">
      <c r="A46" s="9" t="s">
        <v>123</v>
      </c>
      <c r="D46" s="6" t="s">
        <v>21</v>
      </c>
      <c r="E46" s="11">
        <v>0.6</v>
      </c>
      <c r="F46" s="10"/>
      <c r="G46" s="6" t="s">
        <v>41</v>
      </c>
    </row>
    <row r="47" spans="1:7" x14ac:dyDescent="0.2">
      <c r="A47" s="9" t="s">
        <v>124</v>
      </c>
      <c r="D47" s="6" t="s">
        <v>21</v>
      </c>
      <c r="E47" s="11">
        <v>0.6</v>
      </c>
      <c r="F47" s="11">
        <v>0.2</v>
      </c>
      <c r="G47" s="6" t="s">
        <v>42</v>
      </c>
    </row>
    <row r="48" spans="1:7" ht="15" customHeight="1" x14ac:dyDescent="0.2">
      <c r="A48" s="9" t="s">
        <v>125</v>
      </c>
      <c r="D48" s="6" t="s">
        <v>33</v>
      </c>
      <c r="E48" s="10"/>
      <c r="F48" s="10" t="s">
        <v>17</v>
      </c>
      <c r="G48" s="6" t="s">
        <v>43</v>
      </c>
    </row>
    <row r="49" spans="1:7" x14ac:dyDescent="0.2">
      <c r="A49" s="9" t="s">
        <v>126</v>
      </c>
      <c r="D49" s="6" t="s">
        <v>38</v>
      </c>
      <c r="E49" s="10" t="s">
        <v>17</v>
      </c>
      <c r="F49" s="10" t="s">
        <v>17</v>
      </c>
      <c r="G49" s="6" t="s">
        <v>43</v>
      </c>
    </row>
    <row r="50" spans="1:7" ht="15" customHeight="1" x14ac:dyDescent="0.2">
      <c r="A50" s="9" t="s">
        <v>127</v>
      </c>
      <c r="C50" s="6" t="s">
        <v>46</v>
      </c>
      <c r="D50" s="6" t="s">
        <v>11</v>
      </c>
      <c r="E50" s="10" t="s">
        <v>17</v>
      </c>
      <c r="F50" s="10" t="s">
        <v>17</v>
      </c>
    </row>
    <row r="51" spans="1:7" x14ac:dyDescent="0.2">
      <c r="A51" s="9"/>
      <c r="D51" s="6" t="s">
        <v>18</v>
      </c>
      <c r="G51" s="6" t="s">
        <v>32</v>
      </c>
    </row>
    <row r="52" spans="1:7" ht="15" customHeight="1" x14ac:dyDescent="0.2">
      <c r="A52" s="9" t="s">
        <v>128</v>
      </c>
      <c r="D52" s="6" t="s">
        <v>21</v>
      </c>
      <c r="E52" s="11">
        <v>0.6</v>
      </c>
      <c r="F52" s="10"/>
      <c r="G52" s="6" t="s">
        <v>41</v>
      </c>
    </row>
    <row r="53" spans="1:7" x14ac:dyDescent="0.2">
      <c r="A53" s="9" t="s">
        <v>129</v>
      </c>
      <c r="D53" s="6" t="s">
        <v>21</v>
      </c>
      <c r="E53" s="11">
        <v>0.6</v>
      </c>
      <c r="F53" s="11">
        <v>0.2</v>
      </c>
      <c r="G53" s="6" t="s">
        <v>42</v>
      </c>
    </row>
    <row r="54" spans="1:7" ht="15" customHeight="1" x14ac:dyDescent="0.2">
      <c r="A54" s="9" t="s">
        <v>130</v>
      </c>
      <c r="D54" s="6" t="s">
        <v>33</v>
      </c>
      <c r="E54" s="10"/>
      <c r="F54" s="10" t="s">
        <v>17</v>
      </c>
      <c r="G54" s="6" t="s">
        <v>43</v>
      </c>
    </row>
    <row r="55" spans="1:7" x14ac:dyDescent="0.2">
      <c r="A55" s="9" t="s">
        <v>131</v>
      </c>
      <c r="D55" s="6" t="s">
        <v>38</v>
      </c>
      <c r="E55" s="10" t="s">
        <v>17</v>
      </c>
      <c r="F55" s="10" t="s">
        <v>17</v>
      </c>
      <c r="G55" s="6" t="s">
        <v>43</v>
      </c>
    </row>
    <row r="56" spans="1:7" ht="15" customHeight="1" x14ac:dyDescent="0.2">
      <c r="A56" s="9"/>
      <c r="E56" s="10"/>
      <c r="F56" s="10"/>
    </row>
    <row r="57" spans="1:7" x14ac:dyDescent="0.2">
      <c r="A57" s="9" t="s">
        <v>132</v>
      </c>
      <c r="B57" s="6" t="s">
        <v>37</v>
      </c>
      <c r="C57" s="6" t="s">
        <v>5</v>
      </c>
      <c r="D57" s="6" t="s">
        <v>11</v>
      </c>
      <c r="E57" s="10" t="s">
        <v>17</v>
      </c>
      <c r="F57" s="10" t="s">
        <v>17</v>
      </c>
      <c r="G57" s="6" t="s">
        <v>47</v>
      </c>
    </row>
    <row r="58" spans="1:7" ht="15" customHeight="1" x14ac:dyDescent="0.2">
      <c r="A58" s="9"/>
      <c r="D58" s="6" t="s">
        <v>18</v>
      </c>
      <c r="G58" s="6" t="s">
        <v>32</v>
      </c>
    </row>
    <row r="59" spans="1:7" x14ac:dyDescent="0.2">
      <c r="A59" s="9" t="s">
        <v>133</v>
      </c>
      <c r="D59" s="6" t="s">
        <v>21</v>
      </c>
      <c r="E59" s="11">
        <v>0.6</v>
      </c>
      <c r="F59" s="10"/>
      <c r="G59" s="6" t="s">
        <v>41</v>
      </c>
    </row>
    <row r="60" spans="1:7" ht="15" customHeight="1" x14ac:dyDescent="0.2">
      <c r="A60" s="9" t="s">
        <v>134</v>
      </c>
      <c r="D60" s="6" t="s">
        <v>21</v>
      </c>
      <c r="E60" s="11">
        <v>0.6</v>
      </c>
      <c r="F60" s="11">
        <v>0.2</v>
      </c>
      <c r="G60" s="6" t="s">
        <v>48</v>
      </c>
    </row>
    <row r="61" spans="1:7" x14ac:dyDescent="0.2">
      <c r="A61" s="9" t="s">
        <v>135</v>
      </c>
      <c r="D61" s="6" t="s">
        <v>33</v>
      </c>
      <c r="E61" s="10"/>
      <c r="F61" s="10" t="s">
        <v>17</v>
      </c>
      <c r="G61" s="6" t="s">
        <v>49</v>
      </c>
    </row>
    <row r="62" spans="1:7" ht="15" customHeight="1" x14ac:dyDescent="0.2">
      <c r="A62" s="9" t="s">
        <v>136</v>
      </c>
      <c r="D62" s="6" t="s">
        <v>38</v>
      </c>
      <c r="G62" s="6" t="s">
        <v>48</v>
      </c>
    </row>
    <row r="63" spans="1:7" x14ac:dyDescent="0.2">
      <c r="A63" s="9" t="s">
        <v>137</v>
      </c>
      <c r="D63" s="6" t="s">
        <v>31</v>
      </c>
      <c r="E63" s="10" t="s">
        <v>17</v>
      </c>
      <c r="F63" s="10"/>
    </row>
    <row r="64" spans="1:7" ht="15" customHeight="1" x14ac:dyDescent="0.2">
      <c r="A64" s="9"/>
      <c r="E64" s="10"/>
      <c r="F64" s="10"/>
    </row>
    <row r="65" spans="1:7" x14ac:dyDescent="0.2">
      <c r="A65" s="9" t="s">
        <v>138</v>
      </c>
      <c r="B65" s="6" t="s">
        <v>50</v>
      </c>
      <c r="C65" s="6" t="s">
        <v>4</v>
      </c>
      <c r="D65" s="6" t="s">
        <v>57</v>
      </c>
      <c r="E65" s="10" t="s">
        <v>17</v>
      </c>
      <c r="F65" s="10" t="s">
        <v>17</v>
      </c>
    </row>
    <row r="66" spans="1:7" ht="15" customHeight="1" x14ac:dyDescent="0.2">
      <c r="A66" s="9" t="s">
        <v>139</v>
      </c>
      <c r="D66" s="6" t="s">
        <v>58</v>
      </c>
      <c r="E66" s="10" t="s">
        <v>17</v>
      </c>
      <c r="F66" s="10" t="s">
        <v>17</v>
      </c>
      <c r="G66" s="6" t="s">
        <v>59</v>
      </c>
    </row>
    <row r="67" spans="1:7" x14ac:dyDescent="0.2">
      <c r="A67" s="9" t="s">
        <v>140</v>
      </c>
      <c r="D67" s="6" t="s">
        <v>61</v>
      </c>
      <c r="E67" s="10" t="s">
        <v>17</v>
      </c>
      <c r="F67" s="10" t="s">
        <v>17</v>
      </c>
      <c r="G67" s="6" t="s">
        <v>60</v>
      </c>
    </row>
    <row r="68" spans="1:7" ht="15" customHeight="1" x14ac:dyDescent="0.2">
      <c r="A68" s="9" t="s">
        <v>141</v>
      </c>
      <c r="D68" s="6" t="s">
        <v>74</v>
      </c>
      <c r="E68" s="10" t="s">
        <v>17</v>
      </c>
      <c r="F68" s="10" t="s">
        <v>17</v>
      </c>
      <c r="G68" s="6" t="s">
        <v>73</v>
      </c>
    </row>
    <row r="69" spans="1:7" x14ac:dyDescent="0.2">
      <c r="A69" s="9"/>
      <c r="E69" s="10"/>
      <c r="F69" s="10"/>
    </row>
    <row r="70" spans="1:7" ht="15" customHeight="1" x14ac:dyDescent="0.2">
      <c r="A70" s="9" t="s">
        <v>142</v>
      </c>
      <c r="B70" s="6" t="s">
        <v>50</v>
      </c>
      <c r="C70" s="6" t="s">
        <v>8</v>
      </c>
      <c r="D70" s="6" t="s">
        <v>52</v>
      </c>
      <c r="E70" s="10"/>
      <c r="F70" s="10"/>
      <c r="G70" s="6" t="s">
        <v>51</v>
      </c>
    </row>
    <row r="71" spans="1:7" x14ac:dyDescent="0.2">
      <c r="A71" s="9" t="s">
        <v>143</v>
      </c>
      <c r="D71" s="6" t="s">
        <v>53</v>
      </c>
      <c r="E71" s="10"/>
      <c r="F71" s="10"/>
      <c r="G71" s="6" t="s">
        <v>54</v>
      </c>
    </row>
    <row r="72" spans="1:7" ht="15" customHeight="1" x14ac:dyDescent="0.2">
      <c r="A72" s="9"/>
      <c r="E72" s="10"/>
      <c r="F72" s="10"/>
    </row>
    <row r="73" spans="1:7" x14ac:dyDescent="0.2">
      <c r="A73" s="9" t="s">
        <v>144</v>
      </c>
      <c r="B73" s="6" t="s">
        <v>50</v>
      </c>
      <c r="C73" s="6" t="s">
        <v>9</v>
      </c>
      <c r="D73" s="6" t="s">
        <v>62</v>
      </c>
      <c r="E73" s="11">
        <v>0.6</v>
      </c>
      <c r="F73" s="10"/>
    </row>
    <row r="74" spans="1:7" ht="15" customHeight="1" x14ac:dyDescent="0.2">
      <c r="A74" s="9" t="s">
        <v>145</v>
      </c>
      <c r="D74" s="6" t="s">
        <v>63</v>
      </c>
      <c r="E74" s="11">
        <v>0.6</v>
      </c>
      <c r="F74" s="11">
        <v>0.2</v>
      </c>
    </row>
    <row r="75" spans="1:7" x14ac:dyDescent="0.2">
      <c r="A75" s="9"/>
      <c r="E75" s="10"/>
      <c r="F75" s="10"/>
    </row>
    <row r="76" spans="1:7" ht="15" customHeight="1" x14ac:dyDescent="0.2">
      <c r="A76" s="9" t="s">
        <v>144</v>
      </c>
      <c r="B76" s="6" t="s">
        <v>55</v>
      </c>
      <c r="C76" s="6" t="s">
        <v>10</v>
      </c>
      <c r="D76" s="6" t="s">
        <v>64</v>
      </c>
      <c r="E76" s="10"/>
      <c r="F76" s="10"/>
      <c r="G76" s="6" t="s">
        <v>65</v>
      </c>
    </row>
    <row r="77" spans="1:7" x14ac:dyDescent="0.2">
      <c r="A77" s="9" t="s">
        <v>145</v>
      </c>
      <c r="D77" s="6" t="s">
        <v>66</v>
      </c>
      <c r="E77" s="11">
        <v>1</v>
      </c>
      <c r="F77" s="10"/>
      <c r="G77" s="6" t="s">
        <v>67</v>
      </c>
    </row>
    <row r="78" spans="1:7" ht="15" customHeight="1" x14ac:dyDescent="0.2">
      <c r="A78" s="9" t="s">
        <v>146</v>
      </c>
      <c r="D78" s="6" t="s">
        <v>68</v>
      </c>
      <c r="E78" s="10"/>
      <c r="F78" s="10" t="s">
        <v>17</v>
      </c>
    </row>
    <row r="79" spans="1:7" x14ac:dyDescent="0.2">
      <c r="A79" s="9" t="s">
        <v>147</v>
      </c>
      <c r="D79" s="6" t="s">
        <v>69</v>
      </c>
      <c r="E79" s="10"/>
      <c r="F79" s="10" t="s">
        <v>17</v>
      </c>
    </row>
    <row r="80" spans="1:7" ht="15" customHeight="1" x14ac:dyDescent="0.2">
      <c r="A80" s="9" t="s">
        <v>148</v>
      </c>
      <c r="D80" s="6" t="s">
        <v>71</v>
      </c>
      <c r="E80" s="10"/>
      <c r="F80" s="10" t="s">
        <v>17</v>
      </c>
    </row>
    <row r="81" spans="1:6" x14ac:dyDescent="0.2">
      <c r="A81" s="9" t="s">
        <v>149</v>
      </c>
      <c r="D81" s="6" t="s">
        <v>70</v>
      </c>
      <c r="E81" s="10"/>
      <c r="F81" s="10" t="s">
        <v>17</v>
      </c>
    </row>
    <row r="82" spans="1:6" ht="15" customHeight="1" x14ac:dyDescent="0.2">
      <c r="A82" s="9" t="s">
        <v>150</v>
      </c>
      <c r="D82" s="6" t="s">
        <v>72</v>
      </c>
      <c r="E82" s="10"/>
      <c r="F82" s="10" t="s">
        <v>17</v>
      </c>
    </row>
    <row r="83" spans="1:6" x14ac:dyDescent="0.2">
      <c r="A83" s="9"/>
      <c r="E83" s="10"/>
      <c r="F83" s="10"/>
    </row>
    <row r="84" spans="1:6" ht="15" customHeight="1" x14ac:dyDescent="0.2">
      <c r="A84" s="9" t="s">
        <v>151</v>
      </c>
      <c r="B84" s="6" t="s">
        <v>56</v>
      </c>
      <c r="C84" s="6" t="s">
        <v>23</v>
      </c>
    </row>
  </sheetData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  <headerFooter>
    <oddHeader>&amp;LVariantenübersicht für Heizungsanlagen</oddHeader>
    <oddFooter>&amp;Laufgestellt: Horst Winter&amp;C18.12.2021&amp;RSeite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CC00F-3B1E-4798-8CBD-5C74C4C1405C}">
  <dimension ref="A1:AA84"/>
  <sheetViews>
    <sheetView zoomScale="90" zoomScaleNormal="90" workbookViewId="0">
      <selection activeCell="C10" sqref="C10"/>
    </sheetView>
  </sheetViews>
  <sheetFormatPr baseColWidth="10" defaultRowHeight="15" x14ac:dyDescent="0.25"/>
  <cols>
    <col min="1" max="1" width="3.85546875" customWidth="1"/>
    <col min="2" max="2" width="37.28515625" customWidth="1"/>
    <col min="3" max="7" width="17" customWidth="1"/>
    <col min="8" max="8" width="17.28515625" customWidth="1"/>
    <col min="9" max="9" width="16.7109375" customWidth="1"/>
    <col min="10" max="10" width="4.140625" customWidth="1"/>
    <col min="13" max="13" width="17.28515625" customWidth="1"/>
    <col min="14" max="14" width="17.42578125" customWidth="1"/>
    <col min="19" max="19" width="3.85546875" customWidth="1"/>
  </cols>
  <sheetData>
    <row r="1" spans="1:27" x14ac:dyDescent="0.25">
      <c r="A1" s="2" t="s">
        <v>92</v>
      </c>
    </row>
    <row r="2" spans="1:27" x14ac:dyDescent="0.25">
      <c r="A2" t="s">
        <v>195</v>
      </c>
    </row>
    <row r="3" spans="1:27" x14ac:dyDescent="0.25">
      <c r="B3" s="25"/>
      <c r="C3" s="25"/>
      <c r="E3" s="26" t="s">
        <v>203</v>
      </c>
      <c r="F3" s="26" t="s">
        <v>204</v>
      </c>
      <c r="G3" s="25"/>
      <c r="H3" s="25"/>
    </row>
    <row r="4" spans="1:27" x14ac:dyDescent="0.25">
      <c r="B4" s="25" t="s">
        <v>206</v>
      </c>
      <c r="C4" s="30">
        <v>0.12</v>
      </c>
      <c r="D4" s="25" t="s">
        <v>223</v>
      </c>
      <c r="E4" s="27">
        <f>1+((G4-1)/2)</f>
        <v>1.2429736979891772</v>
      </c>
      <c r="F4" s="27">
        <f t="shared" ref="E4:F6" si="0">1+((H4-1)/2)</f>
        <v>1.5955615715167106</v>
      </c>
      <c r="G4" s="27">
        <f>POWER(1.02,20)</f>
        <v>1.4859473959783542</v>
      </c>
      <c r="H4" s="27">
        <f>POWER(1.04,20)</f>
        <v>2.1911231430334213</v>
      </c>
      <c r="K4" s="27" t="s">
        <v>272</v>
      </c>
      <c r="L4" s="25">
        <f>(C8+C9)*0.9/1500</f>
        <v>14.4</v>
      </c>
    </row>
    <row r="5" spans="1:27" x14ac:dyDescent="0.25">
      <c r="B5" s="25" t="s">
        <v>207</v>
      </c>
      <c r="C5" s="30">
        <v>0.33</v>
      </c>
      <c r="D5" s="25" t="s">
        <v>223</v>
      </c>
      <c r="E5" s="27">
        <f t="shared" si="0"/>
        <v>1.2429736979891772</v>
      </c>
      <c r="F5" s="27">
        <f t="shared" si="0"/>
        <v>1.5955615715167106</v>
      </c>
      <c r="G5" s="27">
        <f t="shared" ref="G5:G6" si="1">POWER(1.02,20)</f>
        <v>1.4859473959783542</v>
      </c>
      <c r="H5" s="27">
        <f t="shared" ref="H5:H6" si="2">POWER(1.04,20)</f>
        <v>2.1911231430334213</v>
      </c>
      <c r="K5" t="s">
        <v>274</v>
      </c>
      <c r="L5" s="1" t="s">
        <v>275</v>
      </c>
      <c r="M5" s="1" t="s">
        <v>276</v>
      </c>
      <c r="N5" s="1" t="s">
        <v>277</v>
      </c>
      <c r="O5" s="1" t="s">
        <v>278</v>
      </c>
      <c r="P5" s="1" t="s">
        <v>279</v>
      </c>
    </row>
    <row r="6" spans="1:27" x14ac:dyDescent="0.25">
      <c r="B6" s="25" t="s">
        <v>208</v>
      </c>
      <c r="C6" s="30">
        <f>320/4800</f>
        <v>6.6666666666666666E-2</v>
      </c>
      <c r="D6" s="25" t="s">
        <v>223</v>
      </c>
      <c r="E6" s="27">
        <f t="shared" si="0"/>
        <v>1.2429736979891772</v>
      </c>
      <c r="F6" s="27">
        <f t="shared" si="0"/>
        <v>1.5955615715167106</v>
      </c>
      <c r="G6" s="27">
        <f t="shared" si="1"/>
        <v>1.4859473959783542</v>
      </c>
      <c r="H6" s="27">
        <f t="shared" si="2"/>
        <v>2.1911231430334213</v>
      </c>
      <c r="K6" t="s">
        <v>273</v>
      </c>
      <c r="L6">
        <v>13000</v>
      </c>
      <c r="M6">
        <v>15000</v>
      </c>
      <c r="N6">
        <v>17000</v>
      </c>
      <c r="O6">
        <v>19000</v>
      </c>
      <c r="P6">
        <v>20000</v>
      </c>
    </row>
    <row r="7" spans="1:27" x14ac:dyDescent="0.25">
      <c r="B7" s="25" t="s">
        <v>209</v>
      </c>
      <c r="C7" s="30">
        <v>0.12</v>
      </c>
      <c r="D7" s="25" t="s">
        <v>223</v>
      </c>
      <c r="E7" s="27">
        <v>0.1</v>
      </c>
      <c r="F7" s="27">
        <v>0.1</v>
      </c>
      <c r="G7" s="27"/>
      <c r="H7" s="27"/>
      <c r="K7" t="s">
        <v>280</v>
      </c>
      <c r="L7">
        <f>16*65</f>
        <v>1040</v>
      </c>
      <c r="M7">
        <f t="shared" ref="M7:O7" si="3">16*65</f>
        <v>1040</v>
      </c>
      <c r="N7">
        <f t="shared" si="3"/>
        <v>1040</v>
      </c>
      <c r="O7">
        <f t="shared" si="3"/>
        <v>1040</v>
      </c>
      <c r="P7">
        <f>20*65</f>
        <v>1300</v>
      </c>
    </row>
    <row r="8" spans="1:27" x14ac:dyDescent="0.25">
      <c r="B8" s="25" t="s">
        <v>210</v>
      </c>
      <c r="C8" s="31">
        <v>20000</v>
      </c>
      <c r="D8" s="27" t="s">
        <v>78</v>
      </c>
      <c r="E8" s="27"/>
      <c r="F8" s="25"/>
      <c r="G8" s="25"/>
    </row>
    <row r="9" spans="1:27" x14ac:dyDescent="0.25">
      <c r="B9" s="25" t="s">
        <v>200</v>
      </c>
      <c r="C9" s="31">
        <v>4000</v>
      </c>
      <c r="D9" s="25" t="s">
        <v>78</v>
      </c>
      <c r="E9" s="27"/>
      <c r="F9" s="25"/>
      <c r="G9" s="25"/>
      <c r="K9" t="s">
        <v>281</v>
      </c>
      <c r="L9">
        <f>IF(L4&lt;8,L6+L7, IF(L4&lt;12,M6+M7,IF(L4&lt;14,N6+N7,IF(L4&lt;20,O6+O7,P6+P7))))</f>
        <v>20040</v>
      </c>
    </row>
    <row r="10" spans="1:27" x14ac:dyDescent="0.25">
      <c r="B10" s="25" t="s">
        <v>202</v>
      </c>
      <c r="C10" s="111">
        <f>IF(F10&gt;50,2.5,IF(F10&gt;45,3,IF(F10&gt;40,3.3,IF(F10&gt;34,3.5,"Fehler"))))</f>
        <v>3</v>
      </c>
      <c r="D10" s="25"/>
      <c r="E10" s="27" t="s">
        <v>270</v>
      </c>
      <c r="F10" s="104">
        <v>50</v>
      </c>
      <c r="G10" s="25" t="s">
        <v>271</v>
      </c>
    </row>
    <row r="11" spans="1:27" x14ac:dyDescent="0.25">
      <c r="B11" s="25" t="s">
        <v>268</v>
      </c>
      <c r="C11" s="37">
        <v>40</v>
      </c>
      <c r="D11" s="25" t="s">
        <v>211</v>
      </c>
      <c r="G11" s="25"/>
    </row>
    <row r="12" spans="1:27" x14ac:dyDescent="0.25">
      <c r="B12" s="25" t="s">
        <v>269</v>
      </c>
      <c r="C12" s="37">
        <v>20</v>
      </c>
      <c r="D12" s="25" t="s">
        <v>211</v>
      </c>
      <c r="E12" s="27"/>
      <c r="F12" s="25"/>
      <c r="G12" s="25"/>
    </row>
    <row r="13" spans="1:27" x14ac:dyDescent="0.25">
      <c r="B13" s="25" t="s">
        <v>222</v>
      </c>
      <c r="C13" s="37">
        <v>20</v>
      </c>
      <c r="D13" s="25" t="s">
        <v>211</v>
      </c>
      <c r="E13" s="27"/>
      <c r="F13" s="25"/>
      <c r="G13" s="25"/>
    </row>
    <row r="14" spans="1:27" ht="60" x14ac:dyDescent="0.25">
      <c r="A14" s="12" t="s">
        <v>153</v>
      </c>
      <c r="C14" s="18" t="s">
        <v>169</v>
      </c>
      <c r="D14" s="18" t="s">
        <v>170</v>
      </c>
      <c r="E14" s="18" t="s">
        <v>25</v>
      </c>
      <c r="F14" s="18" t="s">
        <v>178</v>
      </c>
      <c r="G14" s="18" t="s">
        <v>179</v>
      </c>
      <c r="H14" s="18" t="s">
        <v>180</v>
      </c>
      <c r="I14" s="18" t="s">
        <v>194</v>
      </c>
      <c r="L14" s="18" t="s">
        <v>169</v>
      </c>
      <c r="M14" s="18" t="s">
        <v>199</v>
      </c>
      <c r="N14" s="18" t="s">
        <v>25</v>
      </c>
      <c r="O14" s="18" t="s">
        <v>178</v>
      </c>
      <c r="P14" s="18" t="s">
        <v>179</v>
      </c>
      <c r="Q14" s="18" t="s">
        <v>180</v>
      </c>
      <c r="R14" s="18" t="s">
        <v>194</v>
      </c>
      <c r="U14" s="18" t="s">
        <v>169</v>
      </c>
      <c r="V14" s="18" t="s">
        <v>199</v>
      </c>
      <c r="W14" s="18" t="s">
        <v>25</v>
      </c>
      <c r="X14" s="18" t="s">
        <v>178</v>
      </c>
      <c r="Y14" s="18" t="s">
        <v>179</v>
      </c>
      <c r="Z14" s="18" t="s">
        <v>180</v>
      </c>
      <c r="AA14" s="18" t="s">
        <v>194</v>
      </c>
    </row>
    <row r="15" spans="1:27" x14ac:dyDescent="0.25">
      <c r="B15" s="13" t="s">
        <v>154</v>
      </c>
      <c r="C15" s="14">
        <v>1500</v>
      </c>
      <c r="D15" s="14">
        <v>1500</v>
      </c>
      <c r="E15" s="14">
        <v>1500</v>
      </c>
      <c r="F15" s="14">
        <v>1500</v>
      </c>
      <c r="G15" s="14">
        <v>1500</v>
      </c>
      <c r="H15" s="14">
        <v>1500</v>
      </c>
      <c r="I15" s="14">
        <v>1500</v>
      </c>
      <c r="K15" s="13" t="s">
        <v>154</v>
      </c>
      <c r="L15" s="14">
        <f t="shared" ref="L15:L28" si="4">C15</f>
        <v>1500</v>
      </c>
      <c r="M15" s="14">
        <f t="shared" ref="M15:M28" si="5">D15</f>
        <v>1500</v>
      </c>
      <c r="N15" s="14">
        <f t="shared" ref="N15:N28" si="6">E15</f>
        <v>1500</v>
      </c>
      <c r="O15" s="14">
        <f t="shared" ref="O15:O28" si="7">F15</f>
        <v>1500</v>
      </c>
      <c r="P15" s="14">
        <f t="shared" ref="P15:P28" si="8">G15</f>
        <v>1500</v>
      </c>
      <c r="Q15" s="14">
        <f t="shared" ref="Q15:Q28" si="9">H15</f>
        <v>1500</v>
      </c>
      <c r="R15" s="14">
        <f t="shared" ref="R15:R28" si="10">I15</f>
        <v>1500</v>
      </c>
      <c r="T15" s="13" t="s">
        <v>154</v>
      </c>
      <c r="U15" s="14">
        <f>C15</f>
        <v>1500</v>
      </c>
      <c r="V15" s="14">
        <f t="shared" ref="V15:V28" si="11">D15</f>
        <v>1500</v>
      </c>
      <c r="W15" s="14">
        <f t="shared" ref="W15:W28" si="12">E15</f>
        <v>1500</v>
      </c>
      <c r="X15" s="14">
        <f t="shared" ref="X15:X28" si="13">F15</f>
        <v>1500</v>
      </c>
      <c r="Y15" s="14">
        <f t="shared" ref="Y15:Y28" si="14">G15</f>
        <v>1500</v>
      </c>
      <c r="Z15" s="14">
        <f t="shared" ref="Z15:Z28" si="15">H15</f>
        <v>1500</v>
      </c>
      <c r="AA15" s="14">
        <f t="shared" ref="AA15:AA28" si="16">I15</f>
        <v>1500</v>
      </c>
    </row>
    <row r="16" spans="1:27" x14ac:dyDescent="0.25">
      <c r="B16" s="13" t="s">
        <v>155</v>
      </c>
      <c r="C16" s="14">
        <v>6000</v>
      </c>
      <c r="D16" s="14">
        <f>L9</f>
        <v>20040</v>
      </c>
      <c r="E16" s="14">
        <v>20000</v>
      </c>
      <c r="F16" s="14">
        <v>6000</v>
      </c>
      <c r="G16" s="14">
        <v>6000</v>
      </c>
      <c r="H16" s="14">
        <v>6000</v>
      </c>
      <c r="I16" s="14">
        <f>D16</f>
        <v>20040</v>
      </c>
      <c r="K16" s="13" t="s">
        <v>155</v>
      </c>
      <c r="L16" s="14">
        <f t="shared" si="4"/>
        <v>6000</v>
      </c>
      <c r="M16" s="14">
        <f t="shared" si="5"/>
        <v>20040</v>
      </c>
      <c r="N16" s="14">
        <f t="shared" si="6"/>
        <v>20000</v>
      </c>
      <c r="O16" s="14">
        <f t="shared" si="7"/>
        <v>6000</v>
      </c>
      <c r="P16" s="14">
        <f t="shared" si="8"/>
        <v>6000</v>
      </c>
      <c r="Q16" s="14">
        <f t="shared" si="9"/>
        <v>6000</v>
      </c>
      <c r="R16" s="14">
        <f t="shared" si="10"/>
        <v>20040</v>
      </c>
      <c r="T16" s="13" t="s">
        <v>155</v>
      </c>
      <c r="U16" s="14">
        <f t="shared" ref="U16:U28" si="17">C16</f>
        <v>6000</v>
      </c>
      <c r="V16" s="14">
        <f t="shared" si="11"/>
        <v>20040</v>
      </c>
      <c r="W16" s="14">
        <f t="shared" si="12"/>
        <v>20000</v>
      </c>
      <c r="X16" s="14">
        <f t="shared" si="13"/>
        <v>6000</v>
      </c>
      <c r="Y16" s="14">
        <f t="shared" si="14"/>
        <v>6000</v>
      </c>
      <c r="Z16" s="14">
        <f t="shared" si="15"/>
        <v>6000</v>
      </c>
      <c r="AA16" s="14">
        <f t="shared" si="16"/>
        <v>20040</v>
      </c>
    </row>
    <row r="17" spans="2:27" x14ac:dyDescent="0.25">
      <c r="B17" s="13" t="s">
        <v>156</v>
      </c>
      <c r="C17" s="14">
        <v>500</v>
      </c>
      <c r="D17" s="14">
        <v>0</v>
      </c>
      <c r="E17" s="14">
        <v>500</v>
      </c>
      <c r="F17" s="14">
        <v>500</v>
      </c>
      <c r="G17" s="14">
        <v>500</v>
      </c>
      <c r="H17" s="14">
        <v>500</v>
      </c>
      <c r="I17" s="14">
        <v>0</v>
      </c>
      <c r="K17" s="13" t="s">
        <v>156</v>
      </c>
      <c r="L17" s="14">
        <f t="shared" si="4"/>
        <v>500</v>
      </c>
      <c r="M17" s="14">
        <f t="shared" si="5"/>
        <v>0</v>
      </c>
      <c r="N17" s="14">
        <f t="shared" si="6"/>
        <v>500</v>
      </c>
      <c r="O17" s="14">
        <f t="shared" si="7"/>
        <v>500</v>
      </c>
      <c r="P17" s="14">
        <f t="shared" si="8"/>
        <v>500</v>
      </c>
      <c r="Q17" s="14">
        <f t="shared" si="9"/>
        <v>500</v>
      </c>
      <c r="R17" s="14">
        <f t="shared" si="10"/>
        <v>0</v>
      </c>
      <c r="T17" s="13" t="s">
        <v>156</v>
      </c>
      <c r="U17" s="14">
        <f t="shared" si="17"/>
        <v>500</v>
      </c>
      <c r="V17" s="14">
        <f t="shared" si="11"/>
        <v>0</v>
      </c>
      <c r="W17" s="14">
        <f t="shared" si="12"/>
        <v>500</v>
      </c>
      <c r="X17" s="14">
        <f t="shared" si="13"/>
        <v>500</v>
      </c>
      <c r="Y17" s="14">
        <f t="shared" si="14"/>
        <v>500</v>
      </c>
      <c r="Z17" s="14">
        <f t="shared" si="15"/>
        <v>500</v>
      </c>
      <c r="AA17" s="14">
        <f t="shared" si="16"/>
        <v>0</v>
      </c>
    </row>
    <row r="18" spans="2:27" x14ac:dyDescent="0.25">
      <c r="B18" s="13" t="s">
        <v>175</v>
      </c>
      <c r="C18" s="14">
        <v>0</v>
      </c>
      <c r="D18" s="14">
        <v>2000</v>
      </c>
      <c r="E18" s="14">
        <v>3000</v>
      </c>
      <c r="F18" s="14">
        <v>0</v>
      </c>
      <c r="G18" s="14">
        <v>0</v>
      </c>
      <c r="H18" s="14">
        <v>0</v>
      </c>
      <c r="I18" s="14">
        <v>2000</v>
      </c>
      <c r="K18" s="13" t="s">
        <v>175</v>
      </c>
      <c r="L18" s="14">
        <f t="shared" si="4"/>
        <v>0</v>
      </c>
      <c r="M18" s="14">
        <f t="shared" si="5"/>
        <v>2000</v>
      </c>
      <c r="N18" s="14">
        <f t="shared" si="6"/>
        <v>3000</v>
      </c>
      <c r="O18" s="14">
        <f t="shared" si="7"/>
        <v>0</v>
      </c>
      <c r="P18" s="14">
        <f t="shared" si="8"/>
        <v>0</v>
      </c>
      <c r="Q18" s="14">
        <f t="shared" si="9"/>
        <v>0</v>
      </c>
      <c r="R18" s="14">
        <f t="shared" si="10"/>
        <v>2000</v>
      </c>
      <c r="T18" s="13" t="s">
        <v>175</v>
      </c>
      <c r="U18" s="14">
        <f t="shared" si="17"/>
        <v>0</v>
      </c>
      <c r="V18" s="14">
        <f t="shared" si="11"/>
        <v>2000</v>
      </c>
      <c r="W18" s="14">
        <f t="shared" si="12"/>
        <v>3000</v>
      </c>
      <c r="X18" s="14">
        <f t="shared" si="13"/>
        <v>0</v>
      </c>
      <c r="Y18" s="14">
        <f t="shared" si="14"/>
        <v>0</v>
      </c>
      <c r="Z18" s="14">
        <f t="shared" si="15"/>
        <v>0</v>
      </c>
      <c r="AA18" s="14">
        <f t="shared" si="16"/>
        <v>2000</v>
      </c>
    </row>
    <row r="19" spans="2:27" x14ac:dyDescent="0.25">
      <c r="B19" s="13" t="s">
        <v>177</v>
      </c>
      <c r="C19" s="14"/>
      <c r="D19" s="14"/>
      <c r="E19" s="14"/>
      <c r="F19" s="14">
        <v>1000</v>
      </c>
      <c r="G19" s="14"/>
      <c r="H19" s="14"/>
      <c r="I19" s="14"/>
      <c r="K19" s="13" t="s">
        <v>177</v>
      </c>
      <c r="L19" s="14">
        <f t="shared" si="4"/>
        <v>0</v>
      </c>
      <c r="M19" s="14">
        <f t="shared" si="5"/>
        <v>0</v>
      </c>
      <c r="N19" s="14">
        <f t="shared" si="6"/>
        <v>0</v>
      </c>
      <c r="O19" s="14">
        <f t="shared" si="7"/>
        <v>1000</v>
      </c>
      <c r="P19" s="14">
        <f t="shared" si="8"/>
        <v>0</v>
      </c>
      <c r="Q19" s="14">
        <f t="shared" si="9"/>
        <v>0</v>
      </c>
      <c r="R19" s="14">
        <f t="shared" si="10"/>
        <v>0</v>
      </c>
      <c r="T19" s="13" t="s">
        <v>177</v>
      </c>
      <c r="U19" s="14">
        <f t="shared" si="17"/>
        <v>0</v>
      </c>
      <c r="V19" s="14">
        <f t="shared" si="11"/>
        <v>0</v>
      </c>
      <c r="W19" s="14">
        <f t="shared" si="12"/>
        <v>0</v>
      </c>
      <c r="X19" s="14">
        <f t="shared" si="13"/>
        <v>1000</v>
      </c>
      <c r="Y19" s="14">
        <f t="shared" si="14"/>
        <v>0</v>
      </c>
      <c r="Z19" s="14">
        <f t="shared" si="15"/>
        <v>0</v>
      </c>
      <c r="AA19" s="14">
        <f t="shared" si="16"/>
        <v>0</v>
      </c>
    </row>
    <row r="20" spans="2:27" x14ac:dyDescent="0.25">
      <c r="B20" s="13" t="s">
        <v>176</v>
      </c>
      <c r="C20" s="14"/>
      <c r="D20" s="14"/>
      <c r="E20" s="14"/>
      <c r="F20" s="14"/>
      <c r="G20" s="14">
        <v>3000</v>
      </c>
      <c r="H20" s="14"/>
      <c r="I20" s="14"/>
      <c r="K20" s="13" t="s">
        <v>176</v>
      </c>
      <c r="L20" s="14">
        <f t="shared" si="4"/>
        <v>0</v>
      </c>
      <c r="M20" s="14">
        <f t="shared" si="5"/>
        <v>0</v>
      </c>
      <c r="N20" s="14">
        <f t="shared" si="6"/>
        <v>0</v>
      </c>
      <c r="O20" s="14">
        <f t="shared" si="7"/>
        <v>0</v>
      </c>
      <c r="P20" s="14">
        <f t="shared" si="8"/>
        <v>3000</v>
      </c>
      <c r="Q20" s="14">
        <f t="shared" si="9"/>
        <v>0</v>
      </c>
      <c r="R20" s="14">
        <f t="shared" si="10"/>
        <v>0</v>
      </c>
      <c r="T20" s="13" t="s">
        <v>176</v>
      </c>
      <c r="U20" s="14">
        <f t="shared" si="17"/>
        <v>0</v>
      </c>
      <c r="V20" s="14">
        <f t="shared" si="11"/>
        <v>0</v>
      </c>
      <c r="W20" s="14">
        <f t="shared" si="12"/>
        <v>0</v>
      </c>
      <c r="X20" s="14">
        <f t="shared" si="13"/>
        <v>0</v>
      </c>
      <c r="Y20" s="14">
        <f t="shared" si="14"/>
        <v>3000</v>
      </c>
      <c r="Z20" s="14">
        <f t="shared" si="15"/>
        <v>0</v>
      </c>
      <c r="AA20" s="14">
        <f t="shared" si="16"/>
        <v>0</v>
      </c>
    </row>
    <row r="21" spans="2:27" x14ac:dyDescent="0.25">
      <c r="B21" s="13" t="s">
        <v>181</v>
      </c>
      <c r="C21" s="14"/>
      <c r="D21" s="14"/>
      <c r="E21" s="14"/>
      <c r="F21" s="14"/>
      <c r="G21" s="14"/>
      <c r="H21" s="14">
        <v>4000</v>
      </c>
      <c r="I21" s="14"/>
      <c r="K21" s="13" t="s">
        <v>181</v>
      </c>
      <c r="L21" s="14">
        <f t="shared" si="4"/>
        <v>0</v>
      </c>
      <c r="M21" s="14">
        <f t="shared" si="5"/>
        <v>0</v>
      </c>
      <c r="N21" s="14">
        <f t="shared" si="6"/>
        <v>0</v>
      </c>
      <c r="O21" s="14">
        <f t="shared" si="7"/>
        <v>0</v>
      </c>
      <c r="P21" s="14">
        <f t="shared" si="8"/>
        <v>0</v>
      </c>
      <c r="Q21" s="14">
        <f t="shared" si="9"/>
        <v>4000</v>
      </c>
      <c r="R21" s="14">
        <f t="shared" si="10"/>
        <v>0</v>
      </c>
      <c r="T21" s="13" t="s">
        <v>181</v>
      </c>
      <c r="U21" s="14">
        <f t="shared" si="17"/>
        <v>0</v>
      </c>
      <c r="V21" s="14">
        <f t="shared" si="11"/>
        <v>0</v>
      </c>
      <c r="W21" s="14">
        <f t="shared" si="12"/>
        <v>0</v>
      </c>
      <c r="X21" s="14">
        <f t="shared" si="13"/>
        <v>0</v>
      </c>
      <c r="Y21" s="14">
        <f t="shared" si="14"/>
        <v>0</v>
      </c>
      <c r="Z21" s="14">
        <f t="shared" si="15"/>
        <v>4000</v>
      </c>
      <c r="AA21" s="14">
        <f t="shared" si="16"/>
        <v>0</v>
      </c>
    </row>
    <row r="22" spans="2:27" x14ac:dyDescent="0.25">
      <c r="B22" s="13" t="s">
        <v>157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K22" s="13" t="s">
        <v>157</v>
      </c>
      <c r="L22" s="14">
        <f t="shared" si="4"/>
        <v>0</v>
      </c>
      <c r="M22" s="14">
        <f t="shared" si="5"/>
        <v>0</v>
      </c>
      <c r="N22" s="14">
        <f t="shared" si="6"/>
        <v>0</v>
      </c>
      <c r="O22" s="14">
        <f t="shared" si="7"/>
        <v>0</v>
      </c>
      <c r="P22" s="14">
        <f t="shared" si="8"/>
        <v>0</v>
      </c>
      <c r="Q22" s="14">
        <f t="shared" si="9"/>
        <v>0</v>
      </c>
      <c r="R22" s="14">
        <f t="shared" si="10"/>
        <v>0</v>
      </c>
      <c r="T22" s="13" t="s">
        <v>157</v>
      </c>
      <c r="U22" s="14">
        <f t="shared" si="17"/>
        <v>0</v>
      </c>
      <c r="V22" s="14">
        <f t="shared" si="11"/>
        <v>0</v>
      </c>
      <c r="W22" s="14">
        <f t="shared" si="12"/>
        <v>0</v>
      </c>
      <c r="X22" s="14">
        <f t="shared" si="13"/>
        <v>0</v>
      </c>
      <c r="Y22" s="14">
        <f t="shared" si="14"/>
        <v>0</v>
      </c>
      <c r="Z22" s="14">
        <f t="shared" si="15"/>
        <v>0</v>
      </c>
      <c r="AA22" s="14">
        <f t="shared" si="16"/>
        <v>0</v>
      </c>
    </row>
    <row r="23" spans="2:27" x14ac:dyDescent="0.25">
      <c r="B23" s="13" t="s">
        <v>158</v>
      </c>
      <c r="C23" s="14">
        <v>2500</v>
      </c>
      <c r="D23" s="14">
        <v>2500</v>
      </c>
      <c r="E23" s="14">
        <v>2500</v>
      </c>
      <c r="F23" s="14">
        <v>2500</v>
      </c>
      <c r="G23" s="14">
        <v>2500</v>
      </c>
      <c r="H23" s="14">
        <v>2500</v>
      </c>
      <c r="I23" s="14">
        <v>2500</v>
      </c>
      <c r="K23" s="13" t="s">
        <v>158</v>
      </c>
      <c r="L23" s="14">
        <f t="shared" si="4"/>
        <v>2500</v>
      </c>
      <c r="M23" s="14">
        <f t="shared" si="5"/>
        <v>2500</v>
      </c>
      <c r="N23" s="14">
        <f t="shared" si="6"/>
        <v>2500</v>
      </c>
      <c r="O23" s="14">
        <f t="shared" si="7"/>
        <v>2500</v>
      </c>
      <c r="P23" s="14">
        <f t="shared" si="8"/>
        <v>2500</v>
      </c>
      <c r="Q23" s="14">
        <f t="shared" si="9"/>
        <v>2500</v>
      </c>
      <c r="R23" s="14">
        <f t="shared" si="10"/>
        <v>2500</v>
      </c>
      <c r="T23" s="13" t="s">
        <v>158</v>
      </c>
      <c r="U23" s="14">
        <f t="shared" si="17"/>
        <v>2500</v>
      </c>
      <c r="V23" s="14">
        <f t="shared" si="11"/>
        <v>2500</v>
      </c>
      <c r="W23" s="14">
        <f t="shared" si="12"/>
        <v>2500</v>
      </c>
      <c r="X23" s="14">
        <f t="shared" si="13"/>
        <v>2500</v>
      </c>
      <c r="Y23" s="14">
        <f t="shared" si="14"/>
        <v>2500</v>
      </c>
      <c r="Z23" s="14">
        <f t="shared" si="15"/>
        <v>2500</v>
      </c>
      <c r="AA23" s="14">
        <f t="shared" si="16"/>
        <v>2500</v>
      </c>
    </row>
    <row r="24" spans="2:27" x14ac:dyDescent="0.25">
      <c r="B24" s="13" t="s">
        <v>159</v>
      </c>
      <c r="C24" s="14">
        <v>1500</v>
      </c>
      <c r="D24" s="14">
        <v>1500</v>
      </c>
      <c r="E24" s="14">
        <v>1500</v>
      </c>
      <c r="F24" s="14">
        <v>1500</v>
      </c>
      <c r="G24" s="14">
        <v>1500</v>
      </c>
      <c r="H24" s="14">
        <v>1500</v>
      </c>
      <c r="I24" s="14">
        <v>1500</v>
      </c>
      <c r="K24" s="13" t="s">
        <v>159</v>
      </c>
      <c r="L24" s="14">
        <f t="shared" si="4"/>
        <v>1500</v>
      </c>
      <c r="M24" s="14">
        <f t="shared" si="5"/>
        <v>1500</v>
      </c>
      <c r="N24" s="14">
        <f t="shared" si="6"/>
        <v>1500</v>
      </c>
      <c r="O24" s="14">
        <f t="shared" si="7"/>
        <v>1500</v>
      </c>
      <c r="P24" s="14">
        <f t="shared" si="8"/>
        <v>1500</v>
      </c>
      <c r="Q24" s="14">
        <f t="shared" si="9"/>
        <v>1500</v>
      </c>
      <c r="R24" s="14">
        <f t="shared" si="10"/>
        <v>1500</v>
      </c>
      <c r="T24" s="13" t="s">
        <v>159</v>
      </c>
      <c r="U24" s="14">
        <f t="shared" si="17"/>
        <v>1500</v>
      </c>
      <c r="V24" s="14">
        <f t="shared" si="11"/>
        <v>1500</v>
      </c>
      <c r="W24" s="14">
        <f t="shared" si="12"/>
        <v>1500</v>
      </c>
      <c r="X24" s="14">
        <f t="shared" si="13"/>
        <v>1500</v>
      </c>
      <c r="Y24" s="14">
        <f t="shared" si="14"/>
        <v>1500</v>
      </c>
      <c r="Z24" s="14">
        <f t="shared" si="15"/>
        <v>1500</v>
      </c>
      <c r="AA24" s="14">
        <f t="shared" si="16"/>
        <v>1500</v>
      </c>
    </row>
    <row r="25" spans="2:27" x14ac:dyDescent="0.25">
      <c r="B25" s="13" t="s">
        <v>160</v>
      </c>
      <c r="C25" s="14"/>
      <c r="D25" s="14"/>
      <c r="E25" s="14">
        <v>4000</v>
      </c>
      <c r="F25" s="14"/>
      <c r="G25" s="14"/>
      <c r="H25" s="14"/>
      <c r="I25" s="14"/>
      <c r="K25" s="13" t="s">
        <v>160</v>
      </c>
      <c r="L25" s="14">
        <f t="shared" si="4"/>
        <v>0</v>
      </c>
      <c r="M25" s="14">
        <f t="shared" si="5"/>
        <v>0</v>
      </c>
      <c r="N25" s="14">
        <f t="shared" si="6"/>
        <v>4000</v>
      </c>
      <c r="O25" s="14">
        <f t="shared" si="7"/>
        <v>0</v>
      </c>
      <c r="P25" s="14">
        <f t="shared" si="8"/>
        <v>0</v>
      </c>
      <c r="Q25" s="14">
        <f t="shared" si="9"/>
        <v>0</v>
      </c>
      <c r="R25" s="14">
        <f t="shared" si="10"/>
        <v>0</v>
      </c>
      <c r="T25" s="13" t="s">
        <v>160</v>
      </c>
      <c r="U25" s="14">
        <f t="shared" si="17"/>
        <v>0</v>
      </c>
      <c r="V25" s="14">
        <f t="shared" si="11"/>
        <v>0</v>
      </c>
      <c r="W25" s="14">
        <f t="shared" si="12"/>
        <v>4000</v>
      </c>
      <c r="X25" s="14">
        <f t="shared" si="13"/>
        <v>0</v>
      </c>
      <c r="Y25" s="14">
        <f t="shared" si="14"/>
        <v>0</v>
      </c>
      <c r="Z25" s="14">
        <f t="shared" si="15"/>
        <v>0</v>
      </c>
      <c r="AA25" s="14">
        <f t="shared" si="16"/>
        <v>0</v>
      </c>
    </row>
    <row r="26" spans="2:27" x14ac:dyDescent="0.25">
      <c r="B26" s="13" t="s">
        <v>152</v>
      </c>
      <c r="C26" s="14">
        <v>0</v>
      </c>
      <c r="D26" s="14"/>
      <c r="E26" s="14"/>
      <c r="F26" s="14">
        <v>0</v>
      </c>
      <c r="G26" s="14">
        <v>0</v>
      </c>
      <c r="H26" s="14">
        <v>0</v>
      </c>
      <c r="I26" s="14"/>
      <c r="K26" s="13" t="s">
        <v>152</v>
      </c>
      <c r="L26" s="14">
        <f t="shared" si="4"/>
        <v>0</v>
      </c>
      <c r="M26" s="14">
        <f t="shared" si="5"/>
        <v>0</v>
      </c>
      <c r="N26" s="14">
        <f t="shared" si="6"/>
        <v>0</v>
      </c>
      <c r="O26" s="14">
        <f t="shared" si="7"/>
        <v>0</v>
      </c>
      <c r="P26" s="14">
        <f t="shared" si="8"/>
        <v>0</v>
      </c>
      <c r="Q26" s="14">
        <f t="shared" si="9"/>
        <v>0</v>
      </c>
      <c r="R26" s="14">
        <f t="shared" si="10"/>
        <v>0</v>
      </c>
      <c r="T26" s="13" t="s">
        <v>152</v>
      </c>
      <c r="U26" s="14">
        <f t="shared" si="17"/>
        <v>0</v>
      </c>
      <c r="V26" s="14">
        <f t="shared" si="11"/>
        <v>0</v>
      </c>
      <c r="W26" s="14">
        <f t="shared" si="12"/>
        <v>0</v>
      </c>
      <c r="X26" s="14">
        <f t="shared" si="13"/>
        <v>0</v>
      </c>
      <c r="Y26" s="14">
        <f t="shared" si="14"/>
        <v>0</v>
      </c>
      <c r="Z26" s="14">
        <f t="shared" si="15"/>
        <v>0</v>
      </c>
      <c r="AA26" s="14">
        <f t="shared" si="16"/>
        <v>0</v>
      </c>
    </row>
    <row r="27" spans="2:27" x14ac:dyDescent="0.25">
      <c r="B27" s="13" t="s">
        <v>171</v>
      </c>
      <c r="C27" s="14">
        <v>500</v>
      </c>
      <c r="D27" s="14">
        <v>1000</v>
      </c>
      <c r="E27" s="14">
        <v>500</v>
      </c>
      <c r="F27" s="14">
        <v>500</v>
      </c>
      <c r="G27" s="14">
        <v>500</v>
      </c>
      <c r="H27" s="14">
        <v>500</v>
      </c>
      <c r="I27" s="14">
        <v>1000</v>
      </c>
      <c r="K27" s="13" t="s">
        <v>171</v>
      </c>
      <c r="L27" s="14">
        <f t="shared" si="4"/>
        <v>500</v>
      </c>
      <c r="M27" s="14">
        <f t="shared" si="5"/>
        <v>1000</v>
      </c>
      <c r="N27" s="14">
        <f t="shared" si="6"/>
        <v>500</v>
      </c>
      <c r="O27" s="14">
        <f t="shared" si="7"/>
        <v>500</v>
      </c>
      <c r="P27" s="14">
        <f t="shared" si="8"/>
        <v>500</v>
      </c>
      <c r="Q27" s="14">
        <f t="shared" si="9"/>
        <v>500</v>
      </c>
      <c r="R27" s="14">
        <f t="shared" si="10"/>
        <v>1000</v>
      </c>
      <c r="T27" s="13" t="s">
        <v>171</v>
      </c>
      <c r="U27" s="14">
        <f t="shared" si="17"/>
        <v>500</v>
      </c>
      <c r="V27" s="14">
        <f t="shared" si="11"/>
        <v>1000</v>
      </c>
      <c r="W27" s="14">
        <f t="shared" si="12"/>
        <v>500</v>
      </c>
      <c r="X27" s="14">
        <f t="shared" si="13"/>
        <v>500</v>
      </c>
      <c r="Y27" s="14">
        <f t="shared" si="14"/>
        <v>500</v>
      </c>
      <c r="Z27" s="14">
        <f t="shared" si="15"/>
        <v>500</v>
      </c>
      <c r="AA27" s="14">
        <f t="shared" si="16"/>
        <v>1000</v>
      </c>
    </row>
    <row r="28" spans="2:27" x14ac:dyDescent="0.25">
      <c r="B28" s="13" t="s">
        <v>172</v>
      </c>
      <c r="C28" s="14">
        <v>150</v>
      </c>
      <c r="D28" s="14"/>
      <c r="E28" s="14">
        <v>150</v>
      </c>
      <c r="F28" s="14">
        <v>150</v>
      </c>
      <c r="G28" s="14">
        <v>150</v>
      </c>
      <c r="H28" s="14">
        <v>150</v>
      </c>
      <c r="I28" s="14"/>
      <c r="K28" s="13" t="s">
        <v>172</v>
      </c>
      <c r="L28" s="14">
        <f t="shared" si="4"/>
        <v>150</v>
      </c>
      <c r="M28" s="14">
        <f t="shared" si="5"/>
        <v>0</v>
      </c>
      <c r="N28" s="14">
        <f t="shared" si="6"/>
        <v>150</v>
      </c>
      <c r="O28" s="14">
        <f t="shared" si="7"/>
        <v>150</v>
      </c>
      <c r="P28" s="14">
        <f t="shared" si="8"/>
        <v>150</v>
      </c>
      <c r="Q28" s="14">
        <f t="shared" si="9"/>
        <v>150</v>
      </c>
      <c r="R28" s="14">
        <f t="shared" si="10"/>
        <v>0</v>
      </c>
      <c r="T28" s="13" t="s">
        <v>172</v>
      </c>
      <c r="U28" s="14">
        <f t="shared" si="17"/>
        <v>150</v>
      </c>
      <c r="V28" s="14">
        <f t="shared" si="11"/>
        <v>0</v>
      </c>
      <c r="W28" s="14">
        <f t="shared" si="12"/>
        <v>150</v>
      </c>
      <c r="X28" s="14">
        <f t="shared" si="13"/>
        <v>150</v>
      </c>
      <c r="Y28" s="14">
        <f t="shared" si="14"/>
        <v>150</v>
      </c>
      <c r="Z28" s="14">
        <f t="shared" si="15"/>
        <v>150</v>
      </c>
      <c r="AA28" s="14">
        <f t="shared" si="16"/>
        <v>0</v>
      </c>
    </row>
    <row r="29" spans="2:27" x14ac:dyDescent="0.25">
      <c r="B29" s="13"/>
      <c r="C29" s="14"/>
      <c r="D29" s="14"/>
      <c r="E29" s="14"/>
      <c r="F29" s="14"/>
      <c r="G29" s="14"/>
      <c r="H29" s="14"/>
      <c r="I29" s="14"/>
      <c r="K29" s="13"/>
      <c r="L29" s="14"/>
      <c r="M29" s="14"/>
      <c r="N29" s="14"/>
      <c r="O29" s="14"/>
      <c r="P29" s="14"/>
      <c r="Q29" s="14"/>
      <c r="R29" s="14"/>
      <c r="T29" s="13"/>
      <c r="U29" s="14"/>
      <c r="V29" s="14"/>
      <c r="W29" s="14"/>
      <c r="X29" s="14"/>
      <c r="Y29" s="14"/>
      <c r="Z29" s="14"/>
      <c r="AA29" s="14"/>
    </row>
    <row r="30" spans="2:27" x14ac:dyDescent="0.25">
      <c r="B30" s="15" t="s">
        <v>161</v>
      </c>
      <c r="C30" s="16">
        <f t="shared" ref="C30:I30" si="18">SUM(C15:C29)</f>
        <v>12650</v>
      </c>
      <c r="D30" s="16">
        <f t="shared" si="18"/>
        <v>28540</v>
      </c>
      <c r="E30" s="16">
        <f t="shared" si="18"/>
        <v>33650</v>
      </c>
      <c r="F30" s="16">
        <f t="shared" si="18"/>
        <v>13650</v>
      </c>
      <c r="G30" s="16">
        <f t="shared" si="18"/>
        <v>15650</v>
      </c>
      <c r="H30" s="16">
        <f t="shared" si="18"/>
        <v>16650</v>
      </c>
      <c r="I30" s="16">
        <f t="shared" si="18"/>
        <v>28540</v>
      </c>
      <c r="K30" s="15" t="s">
        <v>161</v>
      </c>
      <c r="L30" s="16">
        <f t="shared" ref="L30:R30" si="19">SUM(L15:L29)</f>
        <v>12650</v>
      </c>
      <c r="M30" s="16">
        <f t="shared" si="19"/>
        <v>28540</v>
      </c>
      <c r="N30" s="16">
        <f t="shared" si="19"/>
        <v>33650</v>
      </c>
      <c r="O30" s="16">
        <f t="shared" si="19"/>
        <v>13650</v>
      </c>
      <c r="P30" s="16">
        <f t="shared" si="19"/>
        <v>15650</v>
      </c>
      <c r="Q30" s="16">
        <f t="shared" si="19"/>
        <v>16650</v>
      </c>
      <c r="R30" s="16">
        <f t="shared" si="19"/>
        <v>28540</v>
      </c>
      <c r="T30" s="15" t="s">
        <v>161</v>
      </c>
      <c r="U30" s="16">
        <f t="shared" ref="U30:AA30" si="20">SUM(U15:U29)</f>
        <v>12650</v>
      </c>
      <c r="V30" s="16">
        <f t="shared" si="20"/>
        <v>28540</v>
      </c>
      <c r="W30" s="16">
        <f t="shared" si="20"/>
        <v>33650</v>
      </c>
      <c r="X30" s="16">
        <f t="shared" si="20"/>
        <v>13650</v>
      </c>
      <c r="Y30" s="16">
        <f t="shared" si="20"/>
        <v>15650</v>
      </c>
      <c r="Z30" s="16">
        <f t="shared" si="20"/>
        <v>16650</v>
      </c>
      <c r="AA30" s="16">
        <f t="shared" si="20"/>
        <v>28540</v>
      </c>
    </row>
    <row r="31" spans="2:27" x14ac:dyDescent="0.25">
      <c r="B31" s="13" t="s">
        <v>162</v>
      </c>
      <c r="C31" s="14">
        <f t="shared" ref="C31:I31" si="21">C30*0.19</f>
        <v>2403.5</v>
      </c>
      <c r="D31" s="14">
        <f t="shared" si="21"/>
        <v>5422.6</v>
      </c>
      <c r="E31" s="14">
        <f t="shared" si="21"/>
        <v>6393.5</v>
      </c>
      <c r="F31" s="14">
        <f t="shared" si="21"/>
        <v>2593.5</v>
      </c>
      <c r="G31" s="14">
        <f t="shared" si="21"/>
        <v>2973.5</v>
      </c>
      <c r="H31" s="14">
        <f t="shared" si="21"/>
        <v>3163.5</v>
      </c>
      <c r="I31" s="14">
        <f t="shared" si="21"/>
        <v>5422.6</v>
      </c>
      <c r="K31" s="13" t="s">
        <v>162</v>
      </c>
      <c r="L31" s="14">
        <f t="shared" ref="L31:R31" si="22">L30*0.19</f>
        <v>2403.5</v>
      </c>
      <c r="M31" s="14">
        <f t="shared" si="22"/>
        <v>5422.6</v>
      </c>
      <c r="N31" s="14">
        <f t="shared" si="22"/>
        <v>6393.5</v>
      </c>
      <c r="O31" s="14">
        <f t="shared" si="22"/>
        <v>2593.5</v>
      </c>
      <c r="P31" s="14">
        <f t="shared" si="22"/>
        <v>2973.5</v>
      </c>
      <c r="Q31" s="14">
        <f t="shared" si="22"/>
        <v>3163.5</v>
      </c>
      <c r="R31" s="14">
        <f t="shared" si="22"/>
        <v>5422.6</v>
      </c>
      <c r="T31" s="13" t="s">
        <v>162</v>
      </c>
      <c r="U31" s="14">
        <f t="shared" ref="U31:AA31" si="23">U30*0.19</f>
        <v>2403.5</v>
      </c>
      <c r="V31" s="14">
        <f t="shared" si="23"/>
        <v>5422.6</v>
      </c>
      <c r="W31" s="14">
        <f t="shared" si="23"/>
        <v>6393.5</v>
      </c>
      <c r="X31" s="14">
        <f t="shared" si="23"/>
        <v>2593.5</v>
      </c>
      <c r="Y31" s="14">
        <f t="shared" si="23"/>
        <v>2973.5</v>
      </c>
      <c r="Z31" s="14">
        <f t="shared" si="23"/>
        <v>3163.5</v>
      </c>
      <c r="AA31" s="14">
        <f t="shared" si="23"/>
        <v>5422.6</v>
      </c>
    </row>
    <row r="32" spans="2:27" x14ac:dyDescent="0.25">
      <c r="B32" s="15" t="s">
        <v>163</v>
      </c>
      <c r="C32" s="16">
        <f t="shared" ref="C32:I32" si="24">SUM(C30:C31)</f>
        <v>15053.5</v>
      </c>
      <c r="D32" s="16">
        <f t="shared" si="24"/>
        <v>33962.6</v>
      </c>
      <c r="E32" s="16">
        <f t="shared" si="24"/>
        <v>40043.5</v>
      </c>
      <c r="F32" s="16">
        <f t="shared" si="24"/>
        <v>16243.5</v>
      </c>
      <c r="G32" s="16">
        <f t="shared" si="24"/>
        <v>18623.5</v>
      </c>
      <c r="H32" s="16">
        <f t="shared" si="24"/>
        <v>19813.5</v>
      </c>
      <c r="I32" s="16">
        <f t="shared" si="24"/>
        <v>33962.6</v>
      </c>
      <c r="K32" s="15" t="s">
        <v>163</v>
      </c>
      <c r="L32" s="16">
        <f t="shared" ref="L32:R32" si="25">SUM(L30:L31)</f>
        <v>15053.5</v>
      </c>
      <c r="M32" s="16">
        <f t="shared" si="25"/>
        <v>33962.6</v>
      </c>
      <c r="N32" s="16">
        <f t="shared" si="25"/>
        <v>40043.5</v>
      </c>
      <c r="O32" s="16">
        <f t="shared" si="25"/>
        <v>16243.5</v>
      </c>
      <c r="P32" s="16">
        <f t="shared" si="25"/>
        <v>18623.5</v>
      </c>
      <c r="Q32" s="16">
        <f t="shared" si="25"/>
        <v>19813.5</v>
      </c>
      <c r="R32" s="16">
        <f t="shared" si="25"/>
        <v>33962.6</v>
      </c>
      <c r="T32" s="15" t="s">
        <v>163</v>
      </c>
      <c r="U32" s="16">
        <f t="shared" ref="U32:AA32" si="26">SUM(U30:U31)</f>
        <v>15053.5</v>
      </c>
      <c r="V32" s="16">
        <f t="shared" si="26"/>
        <v>33962.6</v>
      </c>
      <c r="W32" s="16">
        <f t="shared" si="26"/>
        <v>40043.5</v>
      </c>
      <c r="X32" s="16">
        <f t="shared" si="26"/>
        <v>16243.5</v>
      </c>
      <c r="Y32" s="16">
        <f t="shared" si="26"/>
        <v>18623.5</v>
      </c>
      <c r="Z32" s="16">
        <f t="shared" si="26"/>
        <v>19813.5</v>
      </c>
      <c r="AA32" s="16">
        <f t="shared" si="26"/>
        <v>33962.6</v>
      </c>
    </row>
    <row r="33" spans="1:27" x14ac:dyDescent="0.25">
      <c r="B33" s="13" t="s">
        <v>212</v>
      </c>
      <c r="C33" s="14"/>
      <c r="D33" s="14">
        <f>D32*$C$11/100</f>
        <v>13585.04</v>
      </c>
      <c r="E33" s="14">
        <f>E32*$C$13/100</f>
        <v>8008.7</v>
      </c>
      <c r="F33" s="14"/>
      <c r="G33" s="14"/>
      <c r="H33" s="14">
        <f>H32*$C$12/100</f>
        <v>3962.7</v>
      </c>
      <c r="I33" s="14">
        <f>I32*$C$11/100</f>
        <v>13585.04</v>
      </c>
      <c r="K33" s="13"/>
      <c r="L33" s="14"/>
      <c r="M33" s="14">
        <f>M32*$C$11/100</f>
        <v>13585.04</v>
      </c>
      <c r="N33" s="14">
        <f>N32*$C$13/100</f>
        <v>8008.7</v>
      </c>
      <c r="O33" s="14"/>
      <c r="P33" s="14"/>
      <c r="Q33" s="14">
        <f>Q32*$C$12/100</f>
        <v>3962.7</v>
      </c>
      <c r="R33" s="14">
        <f>R32*$C$11/100</f>
        <v>13585.04</v>
      </c>
      <c r="T33" s="13" t="s">
        <v>212</v>
      </c>
      <c r="U33" s="14"/>
      <c r="V33" s="14">
        <f>V32*$C$11/100</f>
        <v>13585.04</v>
      </c>
      <c r="W33" s="14">
        <f>W32*$C$13/100</f>
        <v>8008.7</v>
      </c>
      <c r="X33" s="14"/>
      <c r="Y33" s="14"/>
      <c r="Z33" s="14">
        <f>Z32*$C$12/100</f>
        <v>3962.7</v>
      </c>
      <c r="AA33" s="14">
        <f>AA32*$C$11/100</f>
        <v>13585.04</v>
      </c>
    </row>
    <row r="34" spans="1:27" x14ac:dyDescent="0.25">
      <c r="B34" s="32" t="s">
        <v>213</v>
      </c>
      <c r="C34" s="33">
        <f t="shared" ref="C34:I34" si="27">C32-C33</f>
        <v>15053.5</v>
      </c>
      <c r="D34" s="33">
        <f t="shared" si="27"/>
        <v>20377.559999999998</v>
      </c>
      <c r="E34" s="33">
        <f t="shared" si="27"/>
        <v>32034.799999999999</v>
      </c>
      <c r="F34" s="33">
        <f t="shared" si="27"/>
        <v>16243.5</v>
      </c>
      <c r="G34" s="33">
        <f t="shared" si="27"/>
        <v>18623.5</v>
      </c>
      <c r="H34" s="33">
        <f t="shared" si="27"/>
        <v>15850.8</v>
      </c>
      <c r="I34" s="33">
        <f t="shared" si="27"/>
        <v>20377.559999999998</v>
      </c>
      <c r="K34" s="15" t="s">
        <v>164</v>
      </c>
      <c r="L34" s="17">
        <f t="shared" ref="L34:R34" si="28">L32-L33</f>
        <v>15053.5</v>
      </c>
      <c r="M34" s="17">
        <f t="shared" si="28"/>
        <v>20377.559999999998</v>
      </c>
      <c r="N34" s="17">
        <f t="shared" si="28"/>
        <v>32034.799999999999</v>
      </c>
      <c r="O34" s="17">
        <f t="shared" si="28"/>
        <v>16243.5</v>
      </c>
      <c r="P34" s="17">
        <f t="shared" si="28"/>
        <v>18623.5</v>
      </c>
      <c r="Q34" s="17">
        <f t="shared" si="28"/>
        <v>15850.8</v>
      </c>
      <c r="R34" s="17">
        <f t="shared" si="28"/>
        <v>20377.559999999998</v>
      </c>
      <c r="T34" s="15" t="s">
        <v>164</v>
      </c>
      <c r="U34" s="17">
        <f t="shared" ref="U34:AA34" si="29">U32-U33</f>
        <v>15053.5</v>
      </c>
      <c r="V34" s="17">
        <f t="shared" si="29"/>
        <v>20377.559999999998</v>
      </c>
      <c r="W34" s="17">
        <f t="shared" si="29"/>
        <v>32034.799999999999</v>
      </c>
      <c r="X34" s="17">
        <f t="shared" si="29"/>
        <v>16243.5</v>
      </c>
      <c r="Y34" s="17">
        <f t="shared" si="29"/>
        <v>18623.5</v>
      </c>
      <c r="Z34" s="17">
        <f t="shared" si="29"/>
        <v>15850.8</v>
      </c>
      <c r="AA34" s="17">
        <f t="shared" si="29"/>
        <v>20377.559999999998</v>
      </c>
    </row>
    <row r="35" spans="1:27" x14ac:dyDescent="0.25">
      <c r="B35" s="13"/>
      <c r="C35" s="14"/>
      <c r="D35" s="14"/>
      <c r="E35" s="14"/>
      <c r="I35" s="14"/>
      <c r="K35" s="13"/>
      <c r="L35" s="14"/>
      <c r="M35" s="14"/>
      <c r="N35" s="14"/>
      <c r="R35" s="14"/>
      <c r="T35" s="13"/>
      <c r="U35" s="14"/>
      <c r="V35" s="14"/>
      <c r="W35" s="14"/>
      <c r="AA35" s="14"/>
    </row>
    <row r="36" spans="1:27" x14ac:dyDescent="0.25">
      <c r="B36" s="13"/>
      <c r="K36" s="13"/>
      <c r="T36" s="13"/>
    </row>
    <row r="37" spans="1:27" x14ac:dyDescent="0.25">
      <c r="A37" s="12" t="s">
        <v>165</v>
      </c>
    </row>
    <row r="38" spans="1:27" x14ac:dyDescent="0.25">
      <c r="B38" s="13" t="s">
        <v>173</v>
      </c>
      <c r="C38">
        <v>100</v>
      </c>
      <c r="D38">
        <v>50</v>
      </c>
      <c r="E38">
        <v>300</v>
      </c>
      <c r="F38">
        <v>100</v>
      </c>
      <c r="G38">
        <v>150</v>
      </c>
      <c r="H38">
        <v>150</v>
      </c>
      <c r="I38">
        <v>50</v>
      </c>
      <c r="K38" s="13" t="s">
        <v>173</v>
      </c>
      <c r="L38">
        <f>C38</f>
        <v>100</v>
      </c>
      <c r="M38">
        <f t="shared" ref="M38:M41" si="30">D38</f>
        <v>50</v>
      </c>
      <c r="N38">
        <f t="shared" ref="N38:N41" si="31">E38</f>
        <v>300</v>
      </c>
      <c r="O38">
        <f t="shared" ref="O38:O41" si="32">F38</f>
        <v>100</v>
      </c>
      <c r="P38">
        <f t="shared" ref="P38:P41" si="33">G38</f>
        <v>150</v>
      </c>
      <c r="Q38">
        <f t="shared" ref="Q38:Q41" si="34">H38</f>
        <v>150</v>
      </c>
      <c r="R38">
        <f t="shared" ref="R38:R41" si="35">I38</f>
        <v>50</v>
      </c>
      <c r="T38" s="13" t="s">
        <v>173</v>
      </c>
      <c r="U38">
        <f>C38</f>
        <v>100</v>
      </c>
      <c r="V38">
        <f t="shared" ref="V38:V41" si="36">D38</f>
        <v>50</v>
      </c>
      <c r="W38">
        <f t="shared" ref="W38:W41" si="37">E38</f>
        <v>300</v>
      </c>
      <c r="X38">
        <f t="shared" ref="X38:X41" si="38">F38</f>
        <v>100</v>
      </c>
      <c r="Y38">
        <f t="shared" ref="Y38:Y41" si="39">G38</f>
        <v>150</v>
      </c>
      <c r="Z38">
        <f t="shared" ref="Z38:Z41" si="40">H38</f>
        <v>150</v>
      </c>
      <c r="AA38">
        <f t="shared" ref="AA38:AA41" si="41">I38</f>
        <v>50</v>
      </c>
    </row>
    <row r="39" spans="1:27" x14ac:dyDescent="0.25">
      <c r="B39" s="13" t="s">
        <v>166</v>
      </c>
      <c r="C39">
        <v>50</v>
      </c>
      <c r="E39">
        <v>100</v>
      </c>
      <c r="F39">
        <v>50</v>
      </c>
      <c r="G39">
        <v>50</v>
      </c>
      <c r="H39">
        <v>50</v>
      </c>
      <c r="K39" s="13" t="s">
        <v>166</v>
      </c>
      <c r="L39">
        <f t="shared" ref="L39:L41" si="42">C39</f>
        <v>50</v>
      </c>
      <c r="M39">
        <f t="shared" si="30"/>
        <v>0</v>
      </c>
      <c r="N39">
        <f t="shared" si="31"/>
        <v>100</v>
      </c>
      <c r="O39">
        <f t="shared" si="32"/>
        <v>50</v>
      </c>
      <c r="P39">
        <f t="shared" si="33"/>
        <v>50</v>
      </c>
      <c r="Q39">
        <f t="shared" si="34"/>
        <v>50</v>
      </c>
      <c r="R39">
        <f t="shared" si="35"/>
        <v>0</v>
      </c>
      <c r="T39" s="13" t="s">
        <v>166</v>
      </c>
      <c r="U39">
        <f t="shared" ref="U39:U41" si="43">C39</f>
        <v>50</v>
      </c>
      <c r="V39">
        <f t="shared" si="36"/>
        <v>0</v>
      </c>
      <c r="W39">
        <f t="shared" si="37"/>
        <v>100</v>
      </c>
      <c r="X39">
        <f t="shared" si="38"/>
        <v>50</v>
      </c>
      <c r="Y39">
        <f t="shared" si="39"/>
        <v>50</v>
      </c>
      <c r="Z39">
        <f t="shared" si="40"/>
        <v>50</v>
      </c>
      <c r="AA39">
        <f t="shared" si="41"/>
        <v>0</v>
      </c>
    </row>
    <row r="40" spans="1:27" x14ac:dyDescent="0.25">
      <c r="B40" s="13" t="s">
        <v>174</v>
      </c>
      <c r="C40">
        <v>300</v>
      </c>
      <c r="D40" s="13">
        <v>300</v>
      </c>
      <c r="E40">
        <v>300</v>
      </c>
      <c r="F40">
        <v>300</v>
      </c>
      <c r="G40">
        <v>300</v>
      </c>
      <c r="H40">
        <v>400</v>
      </c>
      <c r="I40" s="13">
        <v>200</v>
      </c>
      <c r="K40" s="13" t="s">
        <v>174</v>
      </c>
      <c r="L40">
        <f t="shared" si="42"/>
        <v>300</v>
      </c>
      <c r="M40">
        <f t="shared" si="30"/>
        <v>300</v>
      </c>
      <c r="N40">
        <f t="shared" si="31"/>
        <v>300</v>
      </c>
      <c r="O40">
        <f t="shared" si="32"/>
        <v>300</v>
      </c>
      <c r="P40">
        <f t="shared" si="33"/>
        <v>300</v>
      </c>
      <c r="Q40">
        <f t="shared" si="34"/>
        <v>400</v>
      </c>
      <c r="R40">
        <f t="shared" si="35"/>
        <v>200</v>
      </c>
      <c r="T40" s="13" t="s">
        <v>174</v>
      </c>
      <c r="U40">
        <f t="shared" si="43"/>
        <v>300</v>
      </c>
      <c r="V40">
        <f t="shared" si="36"/>
        <v>300</v>
      </c>
      <c r="W40">
        <f t="shared" si="37"/>
        <v>300</v>
      </c>
      <c r="X40">
        <f t="shared" si="38"/>
        <v>300</v>
      </c>
      <c r="Y40">
        <f t="shared" si="39"/>
        <v>300</v>
      </c>
      <c r="Z40">
        <f t="shared" si="40"/>
        <v>400</v>
      </c>
      <c r="AA40">
        <f t="shared" si="41"/>
        <v>200</v>
      </c>
    </row>
    <row r="41" spans="1:27" x14ac:dyDescent="0.25">
      <c r="B41" s="13" t="s">
        <v>167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K41" s="13" t="s">
        <v>167</v>
      </c>
      <c r="L41">
        <f t="shared" si="42"/>
        <v>0</v>
      </c>
      <c r="M41">
        <f t="shared" si="30"/>
        <v>0</v>
      </c>
      <c r="N41">
        <f t="shared" si="31"/>
        <v>0</v>
      </c>
      <c r="O41">
        <f t="shared" si="32"/>
        <v>0</v>
      </c>
      <c r="P41">
        <f t="shared" si="33"/>
        <v>0</v>
      </c>
      <c r="Q41">
        <f t="shared" si="34"/>
        <v>0</v>
      </c>
      <c r="R41">
        <f t="shared" si="35"/>
        <v>0</v>
      </c>
      <c r="T41" s="13" t="s">
        <v>167</v>
      </c>
      <c r="U41">
        <f t="shared" si="43"/>
        <v>0</v>
      </c>
      <c r="V41">
        <f t="shared" si="36"/>
        <v>0</v>
      </c>
      <c r="W41">
        <f t="shared" si="37"/>
        <v>0</v>
      </c>
      <c r="X41">
        <f t="shared" si="38"/>
        <v>0</v>
      </c>
      <c r="Y41">
        <f t="shared" si="39"/>
        <v>0</v>
      </c>
      <c r="Z41">
        <f t="shared" si="40"/>
        <v>0</v>
      </c>
      <c r="AA41">
        <f t="shared" si="41"/>
        <v>0</v>
      </c>
    </row>
    <row r="42" spans="1:27" x14ac:dyDescent="0.25">
      <c r="A42" s="3"/>
      <c r="B42" s="34" t="s">
        <v>214</v>
      </c>
      <c r="C42" s="35">
        <f t="shared" ref="C42:I42" si="44">SUM(C38:C41)</f>
        <v>450</v>
      </c>
      <c r="D42" s="35">
        <f t="shared" si="44"/>
        <v>350</v>
      </c>
      <c r="E42" s="35">
        <f t="shared" si="44"/>
        <v>700</v>
      </c>
      <c r="F42" s="35">
        <f t="shared" si="44"/>
        <v>450</v>
      </c>
      <c r="G42" s="35">
        <f t="shared" si="44"/>
        <v>500</v>
      </c>
      <c r="H42" s="35">
        <f t="shared" si="44"/>
        <v>600</v>
      </c>
      <c r="I42" s="35">
        <f t="shared" si="44"/>
        <v>250</v>
      </c>
      <c r="K42" s="21" t="s">
        <v>188</v>
      </c>
      <c r="L42" s="22">
        <f>SUM(L38:L41)*E4</f>
        <v>559.33816409512974</v>
      </c>
      <c r="M42" s="22">
        <f>SUM(M38:M41)*E4</f>
        <v>435.04079429621203</v>
      </c>
      <c r="N42" s="22">
        <f>SUM(N38:N41)*E4</f>
        <v>870.08158859242405</v>
      </c>
      <c r="O42" s="22">
        <f>SUM(O38:O41)*E4</f>
        <v>559.33816409512974</v>
      </c>
      <c r="P42" s="22">
        <f>SUM(P38:P41)*E4</f>
        <v>621.48684899458863</v>
      </c>
      <c r="Q42" s="22">
        <f>SUM(Q38:Q41)*E4</f>
        <v>745.78421879350628</v>
      </c>
      <c r="R42" s="22">
        <f>SUM(R38:R41)*E4</f>
        <v>310.74342449729431</v>
      </c>
      <c r="T42" s="21" t="s">
        <v>188</v>
      </c>
      <c r="U42" s="22">
        <f>SUM(U38:U41)*F4</f>
        <v>718.00270718251977</v>
      </c>
      <c r="V42" s="22">
        <f>SUM(V38:V41)*F4</f>
        <v>558.4465500308487</v>
      </c>
      <c r="W42" s="22">
        <f>SUM(W38:W41)*F4</f>
        <v>1116.8931000616974</v>
      </c>
      <c r="X42" s="22">
        <f>SUM(X38:X41)*F4</f>
        <v>718.00270718251977</v>
      </c>
      <c r="Y42" s="22">
        <f>SUM(Y38:Y41)*F4</f>
        <v>797.78078575835536</v>
      </c>
      <c r="Z42" s="22">
        <f>SUM(Z38:Z41)*F4</f>
        <v>957.33694291002632</v>
      </c>
      <c r="AA42" s="22">
        <f>SUM(AA38:AA41)*F4</f>
        <v>398.89039287917768</v>
      </c>
    </row>
    <row r="43" spans="1:27" x14ac:dyDescent="0.25">
      <c r="B43" s="13"/>
      <c r="K43" s="13"/>
      <c r="T43" s="13"/>
    </row>
    <row r="44" spans="1:27" x14ac:dyDescent="0.25">
      <c r="A44" s="12" t="s">
        <v>168</v>
      </c>
    </row>
    <row r="45" spans="1:27" x14ac:dyDescent="0.25">
      <c r="B45" s="13" t="s">
        <v>182</v>
      </c>
      <c r="C45" s="19">
        <f>$C$8</f>
        <v>20000</v>
      </c>
      <c r="D45" s="14">
        <f>C45/$C$10</f>
        <v>6666.666666666667</v>
      </c>
      <c r="E45" s="14">
        <f>C45*1.1</f>
        <v>22000</v>
      </c>
      <c r="F45" s="14">
        <f>C45</f>
        <v>20000</v>
      </c>
      <c r="G45" s="14">
        <f>C45</f>
        <v>20000</v>
      </c>
      <c r="H45" s="14">
        <f>C45</f>
        <v>20000</v>
      </c>
      <c r="I45" s="14">
        <f>H45/$C$10</f>
        <v>6666.666666666667</v>
      </c>
      <c r="K45" s="13" t="s">
        <v>182</v>
      </c>
      <c r="L45" s="14">
        <f>C45</f>
        <v>20000</v>
      </c>
      <c r="M45" s="14">
        <f t="shared" ref="M45:M50" si="45">D45</f>
        <v>6666.666666666667</v>
      </c>
      <c r="N45" s="14">
        <f t="shared" ref="N45:N50" si="46">E45</f>
        <v>22000</v>
      </c>
      <c r="O45" s="14">
        <f t="shared" ref="O45:O50" si="47">F45</f>
        <v>20000</v>
      </c>
      <c r="P45" s="14">
        <f t="shared" ref="P45:P50" si="48">G45</f>
        <v>20000</v>
      </c>
      <c r="Q45" s="14">
        <f t="shared" ref="Q45:Q50" si="49">H45</f>
        <v>20000</v>
      </c>
      <c r="R45" s="14">
        <f t="shared" ref="R45:R50" si="50">I45</f>
        <v>6666.666666666667</v>
      </c>
      <c r="T45" s="13" t="s">
        <v>182</v>
      </c>
      <c r="U45" s="14">
        <f>C45</f>
        <v>20000</v>
      </c>
      <c r="V45" s="14">
        <f t="shared" ref="V45:V50" si="51">D45</f>
        <v>6666.666666666667</v>
      </c>
      <c r="W45" s="14">
        <f t="shared" ref="W45:W50" si="52">E45</f>
        <v>22000</v>
      </c>
      <c r="X45" s="14">
        <f t="shared" ref="X45:X50" si="53">F45</f>
        <v>20000</v>
      </c>
      <c r="Y45" s="14">
        <f t="shared" ref="Y45:Y50" si="54">G45</f>
        <v>20000</v>
      </c>
      <c r="Z45" s="14">
        <f t="shared" ref="Z45:Z50" si="55">H45</f>
        <v>20000</v>
      </c>
      <c r="AA45" s="14">
        <f t="shared" ref="AA45:AA50" si="56">I45</f>
        <v>6666.666666666667</v>
      </c>
    </row>
    <row r="46" spans="1:27" x14ac:dyDescent="0.25">
      <c r="B46" s="13" t="s">
        <v>219</v>
      </c>
      <c r="C46" s="19">
        <f>$C$9</f>
        <v>4000</v>
      </c>
      <c r="D46" s="14">
        <f>C46/$C$10</f>
        <v>1333.3333333333333</v>
      </c>
      <c r="E46" s="14">
        <f>C46*1.1</f>
        <v>4400</v>
      </c>
      <c r="F46" s="14">
        <f>C46</f>
        <v>4000</v>
      </c>
      <c r="G46" s="14">
        <f>C46</f>
        <v>4000</v>
      </c>
      <c r="H46" s="14">
        <f>C46</f>
        <v>4000</v>
      </c>
      <c r="I46" s="14">
        <f>H46/$C$10</f>
        <v>1333.3333333333333</v>
      </c>
      <c r="K46" s="13" t="s">
        <v>183</v>
      </c>
      <c r="L46" s="14">
        <f t="shared" ref="L46:L50" si="57">C46</f>
        <v>4000</v>
      </c>
      <c r="M46" s="14">
        <f t="shared" si="45"/>
        <v>1333.3333333333333</v>
      </c>
      <c r="N46" s="14">
        <f t="shared" si="46"/>
        <v>4400</v>
      </c>
      <c r="O46" s="14">
        <f t="shared" si="47"/>
        <v>4000</v>
      </c>
      <c r="P46" s="14">
        <f t="shared" si="48"/>
        <v>4000</v>
      </c>
      <c r="Q46" s="14">
        <f t="shared" si="49"/>
        <v>4000</v>
      </c>
      <c r="R46" s="14">
        <f t="shared" si="50"/>
        <v>1333.3333333333333</v>
      </c>
      <c r="T46" s="13" t="s">
        <v>183</v>
      </c>
      <c r="U46" s="14">
        <f t="shared" ref="U46:U50" si="58">C46</f>
        <v>4000</v>
      </c>
      <c r="V46" s="14">
        <f t="shared" si="51"/>
        <v>1333.3333333333333</v>
      </c>
      <c r="W46" s="14">
        <f t="shared" si="52"/>
        <v>4400</v>
      </c>
      <c r="X46" s="14">
        <f t="shared" si="53"/>
        <v>4000</v>
      </c>
      <c r="Y46" s="14">
        <f t="shared" si="54"/>
        <v>4000</v>
      </c>
      <c r="Z46" s="14">
        <f t="shared" si="55"/>
        <v>4000</v>
      </c>
      <c r="AA46" s="14">
        <f t="shared" si="56"/>
        <v>1333.3333333333333</v>
      </c>
    </row>
    <row r="47" spans="1:27" x14ac:dyDescent="0.25">
      <c r="B47" s="20" t="s">
        <v>14</v>
      </c>
      <c r="C47" s="14">
        <f>C45+C46</f>
        <v>24000</v>
      </c>
      <c r="E47" s="5"/>
      <c r="F47" s="14">
        <f>F45+F46/3</f>
        <v>21333.333333333332</v>
      </c>
      <c r="G47" s="14">
        <f>G45</f>
        <v>20000</v>
      </c>
      <c r="H47" s="14">
        <f>H45+H46/3</f>
        <v>21333.333333333332</v>
      </c>
      <c r="K47" s="20" t="s">
        <v>14</v>
      </c>
      <c r="L47" s="14">
        <f t="shared" si="57"/>
        <v>24000</v>
      </c>
      <c r="M47" s="14">
        <f t="shared" si="45"/>
        <v>0</v>
      </c>
      <c r="N47" s="14">
        <f t="shared" si="46"/>
        <v>0</v>
      </c>
      <c r="O47" s="14">
        <f t="shared" si="47"/>
        <v>21333.333333333332</v>
      </c>
      <c r="P47" s="14">
        <f t="shared" si="48"/>
        <v>20000</v>
      </c>
      <c r="Q47" s="14">
        <f t="shared" si="49"/>
        <v>21333.333333333332</v>
      </c>
      <c r="R47" s="14">
        <f t="shared" si="50"/>
        <v>0</v>
      </c>
      <c r="T47" s="20" t="s">
        <v>14</v>
      </c>
      <c r="U47" s="14">
        <f t="shared" si="58"/>
        <v>24000</v>
      </c>
      <c r="V47" s="14">
        <f t="shared" si="51"/>
        <v>0</v>
      </c>
      <c r="W47" s="14">
        <f t="shared" si="52"/>
        <v>0</v>
      </c>
      <c r="X47" s="14">
        <f t="shared" si="53"/>
        <v>21333.333333333332</v>
      </c>
      <c r="Y47" s="14">
        <f t="shared" si="54"/>
        <v>20000</v>
      </c>
      <c r="Z47" s="14">
        <f t="shared" si="55"/>
        <v>21333.333333333332</v>
      </c>
      <c r="AA47" s="14">
        <f t="shared" si="56"/>
        <v>0</v>
      </c>
    </row>
    <row r="48" spans="1:27" x14ac:dyDescent="0.25">
      <c r="B48" s="20" t="s">
        <v>184</v>
      </c>
      <c r="D48" s="14">
        <f>D45+D46</f>
        <v>8000</v>
      </c>
      <c r="F48" s="14"/>
      <c r="G48" s="14">
        <f>G46/3/$C$10</f>
        <v>444.4444444444444</v>
      </c>
      <c r="H48" s="14"/>
      <c r="I48" s="14">
        <f>(I45+I46)/3*2</f>
        <v>5333.333333333333</v>
      </c>
      <c r="K48" s="20" t="s">
        <v>184</v>
      </c>
      <c r="L48" s="14">
        <f t="shared" si="57"/>
        <v>0</v>
      </c>
      <c r="M48" s="14">
        <f t="shared" si="45"/>
        <v>8000</v>
      </c>
      <c r="N48" s="14">
        <f t="shared" si="46"/>
        <v>0</v>
      </c>
      <c r="O48" s="14">
        <f t="shared" si="47"/>
        <v>0</v>
      </c>
      <c r="P48" s="14">
        <f t="shared" si="48"/>
        <v>444.4444444444444</v>
      </c>
      <c r="Q48" s="14">
        <f t="shared" si="49"/>
        <v>0</v>
      </c>
      <c r="R48" s="14">
        <f t="shared" si="50"/>
        <v>5333.333333333333</v>
      </c>
      <c r="T48" s="20" t="s">
        <v>184</v>
      </c>
      <c r="U48" s="14">
        <f t="shared" si="58"/>
        <v>0</v>
      </c>
      <c r="V48" s="14">
        <f t="shared" si="51"/>
        <v>8000</v>
      </c>
      <c r="W48" s="14">
        <f t="shared" si="52"/>
        <v>0</v>
      </c>
      <c r="X48" s="14">
        <f t="shared" si="53"/>
        <v>0</v>
      </c>
      <c r="Y48" s="14">
        <f t="shared" si="54"/>
        <v>444.4444444444444</v>
      </c>
      <c r="Z48" s="14">
        <f t="shared" si="55"/>
        <v>0</v>
      </c>
      <c r="AA48" s="14">
        <f t="shared" si="56"/>
        <v>5333.333333333333</v>
      </c>
    </row>
    <row r="49" spans="1:27" x14ac:dyDescent="0.25">
      <c r="B49" s="20" t="s">
        <v>185</v>
      </c>
      <c r="D49" s="14"/>
      <c r="F49" s="19">
        <f>F46/3*2</f>
        <v>2666.6666666666665</v>
      </c>
      <c r="G49" s="14">
        <f>G46/3*2/$C$10</f>
        <v>888.8888888888888</v>
      </c>
      <c r="H49" s="14"/>
      <c r="I49" s="19">
        <f>(I45+I46)/3</f>
        <v>2666.6666666666665</v>
      </c>
      <c r="K49" s="20" t="s">
        <v>185</v>
      </c>
      <c r="L49" s="14">
        <f t="shared" si="57"/>
        <v>0</v>
      </c>
      <c r="M49" s="14">
        <f t="shared" si="45"/>
        <v>0</v>
      </c>
      <c r="N49" s="14">
        <f t="shared" si="46"/>
        <v>0</v>
      </c>
      <c r="O49" s="14">
        <f t="shared" si="47"/>
        <v>2666.6666666666665</v>
      </c>
      <c r="P49" s="14">
        <f t="shared" si="48"/>
        <v>888.8888888888888</v>
      </c>
      <c r="Q49" s="14">
        <f t="shared" si="49"/>
        <v>0</v>
      </c>
      <c r="R49" s="14">
        <f t="shared" si="50"/>
        <v>2666.6666666666665</v>
      </c>
      <c r="T49" s="20" t="s">
        <v>185</v>
      </c>
      <c r="U49" s="14">
        <f t="shared" si="58"/>
        <v>0</v>
      </c>
      <c r="V49" s="14">
        <f t="shared" si="51"/>
        <v>0</v>
      </c>
      <c r="W49" s="14">
        <f t="shared" si="52"/>
        <v>0</v>
      </c>
      <c r="X49" s="14">
        <f t="shared" si="53"/>
        <v>2666.6666666666665</v>
      </c>
      <c r="Y49" s="14">
        <f t="shared" si="54"/>
        <v>888.8888888888888</v>
      </c>
      <c r="Z49" s="14">
        <f t="shared" si="55"/>
        <v>0</v>
      </c>
      <c r="AA49" s="14">
        <f t="shared" si="56"/>
        <v>2666.6666666666665</v>
      </c>
    </row>
    <row r="50" spans="1:27" x14ac:dyDescent="0.25">
      <c r="B50" s="20" t="s">
        <v>25</v>
      </c>
      <c r="E50" s="14">
        <f>E45+E46</f>
        <v>26400</v>
      </c>
      <c r="K50" s="20" t="s">
        <v>25</v>
      </c>
      <c r="L50" s="14">
        <f t="shared" si="57"/>
        <v>0</v>
      </c>
      <c r="M50" s="14">
        <f t="shared" si="45"/>
        <v>0</v>
      </c>
      <c r="N50" s="14">
        <f t="shared" si="46"/>
        <v>26400</v>
      </c>
      <c r="O50" s="14">
        <f t="shared" si="47"/>
        <v>0</v>
      </c>
      <c r="P50" s="14">
        <f t="shared" si="48"/>
        <v>0</v>
      </c>
      <c r="Q50" s="14">
        <f t="shared" si="49"/>
        <v>0</v>
      </c>
      <c r="R50" s="14">
        <f t="shared" si="50"/>
        <v>0</v>
      </c>
      <c r="T50" s="20" t="s">
        <v>25</v>
      </c>
      <c r="U50" s="14">
        <f t="shared" si="58"/>
        <v>0</v>
      </c>
      <c r="V50" s="14">
        <f t="shared" si="51"/>
        <v>0</v>
      </c>
      <c r="W50" s="14">
        <f t="shared" si="52"/>
        <v>26400</v>
      </c>
      <c r="X50" s="14">
        <f t="shared" si="53"/>
        <v>0</v>
      </c>
      <c r="Y50" s="14">
        <f t="shared" si="54"/>
        <v>0</v>
      </c>
      <c r="Z50" s="14">
        <f t="shared" si="55"/>
        <v>0</v>
      </c>
      <c r="AA50" s="14">
        <f t="shared" si="56"/>
        <v>0</v>
      </c>
    </row>
    <row r="51" spans="1:27" x14ac:dyDescent="0.25">
      <c r="B51" s="34" t="s">
        <v>215</v>
      </c>
      <c r="C51" s="36">
        <f>C47*$C$4</f>
        <v>2880</v>
      </c>
      <c r="D51" s="36">
        <f>D48*$C$5</f>
        <v>2640</v>
      </c>
      <c r="E51" s="36">
        <f>E50*$C$6</f>
        <v>1760</v>
      </c>
      <c r="F51" s="36">
        <f>F47*$C$4+F48*$C$4+F49*$C$7</f>
        <v>2879.9999999999995</v>
      </c>
      <c r="G51" s="36">
        <f>G47*$C$4+G48*$C$5+G49*$C$7</f>
        <v>2653.333333333333</v>
      </c>
      <c r="H51" s="36">
        <f>H47*$C$4</f>
        <v>2559.9999999999995</v>
      </c>
      <c r="I51" s="36">
        <f>I48*$C$5+I49*$C$7</f>
        <v>2080</v>
      </c>
      <c r="K51" s="21" t="s">
        <v>187</v>
      </c>
      <c r="L51" s="16">
        <f>L47*$C$4*E4</f>
        <v>3579.7642502088306</v>
      </c>
      <c r="M51" s="16">
        <f>M48*$C$5*E5</f>
        <v>3281.4505626914279</v>
      </c>
      <c r="N51" s="16">
        <f>N50*$C$6*E6</f>
        <v>2187.6337084609518</v>
      </c>
      <c r="O51" s="16">
        <f>O47*$C$4*E4+O49*$C$7</f>
        <v>3502.012666852293</v>
      </c>
      <c r="P51" s="16">
        <f>P47*$C$4*E4+P48*$C$5*E5+P49*$C$7</f>
        <v>3272.1063508791044</v>
      </c>
      <c r="Q51" s="16">
        <f>Q47*$C$4*E4</f>
        <v>3182.012666852293</v>
      </c>
      <c r="R51" s="16">
        <f>R48*$C$5*E5+R49*$C$7</f>
        <v>2507.6337084609518</v>
      </c>
      <c r="T51" s="21" t="s">
        <v>187</v>
      </c>
      <c r="U51" s="16">
        <f>U47*$C$4*F4</f>
        <v>4595.2173259681267</v>
      </c>
      <c r="V51" s="16">
        <f>V48*$C$5*F5</f>
        <v>4212.2825488041162</v>
      </c>
      <c r="W51" s="16">
        <f>W50*$C$6*F6</f>
        <v>2808.1883658694105</v>
      </c>
      <c r="X51" s="16">
        <f>X47*$C$4*F4+X49*$C$7</f>
        <v>4404.6376230827782</v>
      </c>
      <c r="Y51" s="16">
        <f>Y47*$C$4*F4+Y48*$C$5*F5+Y49*$C$7</f>
        <v>4170.0301354625562</v>
      </c>
      <c r="Z51" s="16">
        <f>Z47*$C$4*F4</f>
        <v>4084.6376230827786</v>
      </c>
      <c r="AA51" s="16">
        <f>AA48*$C$5*F5+AA49*$C$7</f>
        <v>3128.1883658694105</v>
      </c>
    </row>
    <row r="52" spans="1:27" x14ac:dyDescent="0.25">
      <c r="E52" s="13"/>
      <c r="K52" s="13"/>
      <c r="L52" s="14"/>
      <c r="M52" s="14"/>
      <c r="N52" s="14"/>
      <c r="O52" s="14"/>
      <c r="P52" s="14"/>
      <c r="Q52" s="14"/>
      <c r="R52" s="14"/>
      <c r="T52" s="13"/>
      <c r="U52" s="14"/>
      <c r="V52" s="14"/>
      <c r="W52" s="14"/>
      <c r="X52" s="14"/>
      <c r="Y52" s="14"/>
      <c r="Z52" s="14"/>
      <c r="AA52" s="14"/>
    </row>
    <row r="53" spans="1:27" x14ac:dyDescent="0.25">
      <c r="E53" s="13"/>
      <c r="K53" s="13"/>
      <c r="L53" s="14"/>
      <c r="M53" s="14"/>
      <c r="N53" s="14"/>
      <c r="O53" s="14"/>
      <c r="P53" s="14"/>
      <c r="Q53" s="14"/>
      <c r="R53" s="14"/>
      <c r="T53" s="13"/>
      <c r="U53" s="14"/>
      <c r="V53" s="14"/>
      <c r="W53" s="14"/>
      <c r="X53" s="14"/>
      <c r="Y53" s="14"/>
      <c r="Z53" s="14"/>
      <c r="AA53" s="14"/>
    </row>
    <row r="54" spans="1:27" x14ac:dyDescent="0.25">
      <c r="A54" s="2" t="s">
        <v>216</v>
      </c>
      <c r="E54" s="13"/>
      <c r="K54" s="13"/>
      <c r="L54" s="14"/>
      <c r="M54" s="14"/>
      <c r="N54" s="14"/>
      <c r="O54" s="14"/>
      <c r="P54" s="14"/>
      <c r="Q54" s="14"/>
      <c r="R54" s="14"/>
      <c r="T54" s="13"/>
      <c r="U54" s="14"/>
      <c r="V54" s="14"/>
      <c r="W54" s="14"/>
      <c r="X54" s="14"/>
      <c r="Y54" s="14"/>
      <c r="Z54" s="14"/>
      <c r="AA54" s="14"/>
    </row>
    <row r="55" spans="1:27" x14ac:dyDescent="0.25">
      <c r="E55" s="13"/>
      <c r="N55" s="13"/>
      <c r="W55" s="13"/>
    </row>
    <row r="56" spans="1:27" x14ac:dyDescent="0.25">
      <c r="B56" t="s">
        <v>217</v>
      </c>
      <c r="C56" s="14">
        <f>C34</f>
        <v>15053.5</v>
      </c>
      <c r="D56" s="14">
        <f t="shared" ref="D56:H56" si="59">D34</f>
        <v>20377.559999999998</v>
      </c>
      <c r="E56" s="14">
        <f t="shared" si="59"/>
        <v>32034.799999999999</v>
      </c>
      <c r="F56" s="14">
        <f t="shared" si="59"/>
        <v>16243.5</v>
      </c>
      <c r="G56" s="14">
        <f t="shared" si="59"/>
        <v>18623.5</v>
      </c>
      <c r="H56" s="14">
        <f t="shared" si="59"/>
        <v>15850.8</v>
      </c>
      <c r="I56" s="14">
        <f t="shared" ref="I56" si="60">I34</f>
        <v>20377.559999999998</v>
      </c>
      <c r="K56" t="s">
        <v>186</v>
      </c>
      <c r="L56" s="14">
        <f>L34</f>
        <v>15053.5</v>
      </c>
      <c r="M56" s="14">
        <f t="shared" ref="M56:R56" si="61">M34</f>
        <v>20377.559999999998</v>
      </c>
      <c r="N56" s="14">
        <f t="shared" si="61"/>
        <v>32034.799999999999</v>
      </c>
      <c r="O56" s="14">
        <f t="shared" si="61"/>
        <v>16243.5</v>
      </c>
      <c r="P56" s="14">
        <f t="shared" si="61"/>
        <v>18623.5</v>
      </c>
      <c r="Q56" s="14">
        <f t="shared" si="61"/>
        <v>15850.8</v>
      </c>
      <c r="R56" s="14">
        <f t="shared" si="61"/>
        <v>20377.559999999998</v>
      </c>
      <c r="T56" t="s">
        <v>186</v>
      </c>
      <c r="U56" s="14">
        <f>U34</f>
        <v>15053.5</v>
      </c>
      <c r="V56" s="14">
        <f t="shared" ref="V56:AA56" si="62">V34</f>
        <v>20377.559999999998</v>
      </c>
      <c r="W56" s="14">
        <f t="shared" si="62"/>
        <v>32034.799999999999</v>
      </c>
      <c r="X56" s="14">
        <f t="shared" si="62"/>
        <v>16243.5</v>
      </c>
      <c r="Y56" s="14">
        <f t="shared" si="62"/>
        <v>18623.5</v>
      </c>
      <c r="Z56" s="14">
        <f t="shared" si="62"/>
        <v>15850.8</v>
      </c>
      <c r="AA56" s="14">
        <f t="shared" si="62"/>
        <v>20377.559999999998</v>
      </c>
    </row>
    <row r="57" spans="1:27" x14ac:dyDescent="0.25">
      <c r="B57" t="s">
        <v>189</v>
      </c>
      <c r="C57">
        <f>C42</f>
        <v>450</v>
      </c>
      <c r="D57">
        <f t="shared" ref="D57:H57" si="63">D42</f>
        <v>350</v>
      </c>
      <c r="E57">
        <f t="shared" si="63"/>
        <v>700</v>
      </c>
      <c r="F57">
        <f t="shared" si="63"/>
        <v>450</v>
      </c>
      <c r="G57">
        <f t="shared" si="63"/>
        <v>500</v>
      </c>
      <c r="H57">
        <f t="shared" si="63"/>
        <v>600</v>
      </c>
      <c r="I57">
        <f t="shared" ref="I57" si="64">I42</f>
        <v>250</v>
      </c>
      <c r="K57" t="s">
        <v>189</v>
      </c>
      <c r="L57" s="14">
        <f>L42</f>
        <v>559.33816409512974</v>
      </c>
      <c r="M57" s="14">
        <f t="shared" ref="M57:R57" si="65">M42</f>
        <v>435.04079429621203</v>
      </c>
      <c r="N57" s="14">
        <f t="shared" si="65"/>
        <v>870.08158859242405</v>
      </c>
      <c r="O57" s="14">
        <f t="shared" si="65"/>
        <v>559.33816409512974</v>
      </c>
      <c r="P57" s="14">
        <f t="shared" si="65"/>
        <v>621.48684899458863</v>
      </c>
      <c r="Q57" s="14">
        <f t="shared" si="65"/>
        <v>745.78421879350628</v>
      </c>
      <c r="R57" s="14">
        <f t="shared" si="65"/>
        <v>310.74342449729431</v>
      </c>
      <c r="T57" t="s">
        <v>189</v>
      </c>
      <c r="U57" s="14">
        <f>U42</f>
        <v>718.00270718251977</v>
      </c>
      <c r="V57" s="14">
        <f t="shared" ref="V57:AA57" si="66">V42</f>
        <v>558.4465500308487</v>
      </c>
      <c r="W57" s="14">
        <f t="shared" si="66"/>
        <v>1116.8931000616974</v>
      </c>
      <c r="X57" s="14">
        <f t="shared" si="66"/>
        <v>718.00270718251977</v>
      </c>
      <c r="Y57" s="14">
        <f t="shared" si="66"/>
        <v>797.78078575835536</v>
      </c>
      <c r="Z57" s="14">
        <f t="shared" si="66"/>
        <v>957.33694291002632</v>
      </c>
      <c r="AA57" s="14">
        <f t="shared" si="66"/>
        <v>398.89039287917768</v>
      </c>
    </row>
    <row r="58" spans="1:27" x14ac:dyDescent="0.25">
      <c r="B58" t="s">
        <v>218</v>
      </c>
      <c r="C58" s="14">
        <f>C51</f>
        <v>2880</v>
      </c>
      <c r="D58" s="14">
        <f t="shared" ref="D58:H58" si="67">D51</f>
        <v>2640</v>
      </c>
      <c r="E58" s="14">
        <f t="shared" si="67"/>
        <v>1760</v>
      </c>
      <c r="F58" s="14">
        <f t="shared" si="67"/>
        <v>2879.9999999999995</v>
      </c>
      <c r="G58" s="14">
        <f t="shared" si="67"/>
        <v>2653.333333333333</v>
      </c>
      <c r="H58" s="14">
        <f t="shared" si="67"/>
        <v>2559.9999999999995</v>
      </c>
      <c r="I58" s="14">
        <f t="shared" ref="I58" si="68">I51</f>
        <v>2080</v>
      </c>
      <c r="K58" t="s">
        <v>190</v>
      </c>
      <c r="L58" s="14">
        <f>L51</f>
        <v>3579.7642502088306</v>
      </c>
      <c r="M58" s="14">
        <f t="shared" ref="M58:R58" si="69">M51</f>
        <v>3281.4505626914279</v>
      </c>
      <c r="N58" s="14">
        <f t="shared" si="69"/>
        <v>2187.6337084609518</v>
      </c>
      <c r="O58" s="14">
        <f t="shared" si="69"/>
        <v>3502.012666852293</v>
      </c>
      <c r="P58" s="14">
        <f t="shared" si="69"/>
        <v>3272.1063508791044</v>
      </c>
      <c r="Q58" s="14">
        <f t="shared" si="69"/>
        <v>3182.012666852293</v>
      </c>
      <c r="R58" s="14">
        <f t="shared" si="69"/>
        <v>2507.6337084609518</v>
      </c>
      <c r="T58" t="s">
        <v>190</v>
      </c>
      <c r="U58" s="14">
        <f>U51</f>
        <v>4595.2173259681267</v>
      </c>
      <c r="V58" s="14">
        <f t="shared" ref="V58:AA58" si="70">V51</f>
        <v>4212.2825488041162</v>
      </c>
      <c r="W58" s="14">
        <f t="shared" si="70"/>
        <v>2808.1883658694105</v>
      </c>
      <c r="X58" s="14">
        <f t="shared" si="70"/>
        <v>4404.6376230827782</v>
      </c>
      <c r="Y58" s="14">
        <f t="shared" si="70"/>
        <v>4170.0301354625562</v>
      </c>
      <c r="Z58" s="14">
        <f t="shared" si="70"/>
        <v>4084.6376230827786</v>
      </c>
      <c r="AA58" s="14">
        <f t="shared" si="70"/>
        <v>3128.1883658694105</v>
      </c>
    </row>
    <row r="60" spans="1:27" x14ac:dyDescent="0.25">
      <c r="B60" s="2" t="s">
        <v>191</v>
      </c>
      <c r="K60" s="2" t="s">
        <v>220</v>
      </c>
      <c r="T60" s="2" t="s">
        <v>221</v>
      </c>
    </row>
    <row r="61" spans="1:27" x14ac:dyDescent="0.25">
      <c r="B61" t="s">
        <v>186</v>
      </c>
      <c r="C61" s="14">
        <f>C56</f>
        <v>15053.5</v>
      </c>
      <c r="D61" s="14">
        <f t="shared" ref="D61:H61" si="71">D56</f>
        <v>20377.559999999998</v>
      </c>
      <c r="E61" s="14">
        <f t="shared" si="71"/>
        <v>32034.799999999999</v>
      </c>
      <c r="F61" s="14">
        <f t="shared" si="71"/>
        <v>16243.5</v>
      </c>
      <c r="G61" s="14">
        <f t="shared" si="71"/>
        <v>18623.5</v>
      </c>
      <c r="H61" s="14">
        <f t="shared" si="71"/>
        <v>15850.8</v>
      </c>
      <c r="I61" s="14">
        <f t="shared" ref="I61" si="72">I56</f>
        <v>20377.559999999998</v>
      </c>
      <c r="K61" t="s">
        <v>186</v>
      </c>
      <c r="L61" s="14">
        <f>L56</f>
        <v>15053.5</v>
      </c>
      <c r="M61" s="14">
        <f t="shared" ref="M61:R61" si="73">M56</f>
        <v>20377.559999999998</v>
      </c>
      <c r="N61" s="14">
        <f t="shared" si="73"/>
        <v>32034.799999999999</v>
      </c>
      <c r="O61" s="14">
        <f t="shared" si="73"/>
        <v>16243.5</v>
      </c>
      <c r="P61" s="14">
        <f t="shared" si="73"/>
        <v>18623.5</v>
      </c>
      <c r="Q61" s="14">
        <f t="shared" si="73"/>
        <v>15850.8</v>
      </c>
      <c r="R61" s="14">
        <f t="shared" si="73"/>
        <v>20377.559999999998</v>
      </c>
      <c r="T61" t="s">
        <v>186</v>
      </c>
      <c r="U61" s="14">
        <f>U56</f>
        <v>15053.5</v>
      </c>
      <c r="V61" s="14">
        <f t="shared" ref="V61:AA61" si="74">V56</f>
        <v>20377.559999999998</v>
      </c>
      <c r="W61" s="14">
        <f t="shared" si="74"/>
        <v>32034.799999999999</v>
      </c>
      <c r="X61" s="14">
        <f t="shared" si="74"/>
        <v>16243.5</v>
      </c>
      <c r="Y61" s="14">
        <f t="shared" si="74"/>
        <v>18623.5</v>
      </c>
      <c r="Z61" s="14">
        <f t="shared" si="74"/>
        <v>15850.8</v>
      </c>
      <c r="AA61" s="14">
        <f t="shared" si="74"/>
        <v>20377.559999999998</v>
      </c>
    </row>
    <row r="62" spans="1:27" x14ac:dyDescent="0.25">
      <c r="B62" t="s">
        <v>192</v>
      </c>
      <c r="C62" s="14">
        <f>C57*20</f>
        <v>9000</v>
      </c>
      <c r="D62" s="14">
        <f t="shared" ref="D62:H62" si="75">D57*20</f>
        <v>7000</v>
      </c>
      <c r="E62" s="14">
        <f t="shared" si="75"/>
        <v>14000</v>
      </c>
      <c r="F62" s="14">
        <f t="shared" si="75"/>
        <v>9000</v>
      </c>
      <c r="G62" s="14">
        <f t="shared" si="75"/>
        <v>10000</v>
      </c>
      <c r="H62" s="14">
        <f t="shared" si="75"/>
        <v>12000</v>
      </c>
      <c r="I62" s="14">
        <f t="shared" ref="I62" si="76">I57*20</f>
        <v>5000</v>
      </c>
      <c r="K62" t="s">
        <v>192</v>
      </c>
      <c r="L62" s="14">
        <f>L57*20</f>
        <v>11186.763281902595</v>
      </c>
      <c r="M62" s="14">
        <f t="shared" ref="M62:R63" si="77">M57*20</f>
        <v>8700.8158859242412</v>
      </c>
      <c r="N62" s="14">
        <f t="shared" si="77"/>
        <v>17401.631771848482</v>
      </c>
      <c r="O62" s="14">
        <f t="shared" si="77"/>
        <v>11186.763281902595</v>
      </c>
      <c r="P62" s="14">
        <f t="shared" si="77"/>
        <v>12429.736979891772</v>
      </c>
      <c r="Q62" s="14">
        <f t="shared" si="77"/>
        <v>14915.684375870125</v>
      </c>
      <c r="R62" s="14">
        <f t="shared" si="77"/>
        <v>6214.8684899458858</v>
      </c>
      <c r="T62" t="s">
        <v>192</v>
      </c>
      <c r="U62" s="14">
        <f>U57*20</f>
        <v>14360.054143650395</v>
      </c>
      <c r="V62" s="14">
        <f t="shared" ref="V62:AA62" si="78">V57*20</f>
        <v>11168.931000616974</v>
      </c>
      <c r="W62" s="14">
        <f t="shared" si="78"/>
        <v>22337.862001233949</v>
      </c>
      <c r="X62" s="14">
        <f t="shared" si="78"/>
        <v>14360.054143650395</v>
      </c>
      <c r="Y62" s="14">
        <f t="shared" si="78"/>
        <v>15955.615715167107</v>
      </c>
      <c r="Z62" s="14">
        <f t="shared" si="78"/>
        <v>19146.738858200526</v>
      </c>
      <c r="AA62" s="14">
        <f t="shared" si="78"/>
        <v>7977.8078575835534</v>
      </c>
    </row>
    <row r="63" spans="1:27" x14ac:dyDescent="0.25">
      <c r="B63" t="s">
        <v>193</v>
      </c>
      <c r="C63" s="14">
        <f>C58*20</f>
        <v>57600</v>
      </c>
      <c r="D63" s="14">
        <f t="shared" ref="D63:H63" si="79">D58*20</f>
        <v>52800</v>
      </c>
      <c r="E63" s="14">
        <f t="shared" si="79"/>
        <v>35200</v>
      </c>
      <c r="F63" s="14">
        <f t="shared" si="79"/>
        <v>57599.999999999993</v>
      </c>
      <c r="G63" s="14">
        <f t="shared" si="79"/>
        <v>53066.666666666657</v>
      </c>
      <c r="H63" s="14">
        <f t="shared" si="79"/>
        <v>51199.999999999993</v>
      </c>
      <c r="I63" s="14">
        <f t="shared" ref="I63" si="80">I58*20</f>
        <v>41600</v>
      </c>
      <c r="K63" t="s">
        <v>193</v>
      </c>
      <c r="L63" s="14">
        <f>L58*20</f>
        <v>71595.285004176607</v>
      </c>
      <c r="M63" s="14">
        <f t="shared" ref="M63:Q63" si="81">M58*20</f>
        <v>65629.011253828561</v>
      </c>
      <c r="N63" s="14">
        <f t="shared" si="81"/>
        <v>43752.674169219034</v>
      </c>
      <c r="O63" s="14">
        <f t="shared" si="81"/>
        <v>70040.253337045855</v>
      </c>
      <c r="P63" s="14">
        <f t="shared" si="81"/>
        <v>65442.12701758209</v>
      </c>
      <c r="Q63" s="14">
        <f t="shared" si="81"/>
        <v>63640.253337045862</v>
      </c>
      <c r="R63" s="14">
        <f t="shared" si="77"/>
        <v>50152.674169219034</v>
      </c>
      <c r="T63" t="s">
        <v>193</v>
      </c>
      <c r="U63" s="14">
        <f>U58*20</f>
        <v>91904.346519362531</v>
      </c>
      <c r="V63" s="14">
        <f t="shared" ref="V63:AA63" si="82">V58*20</f>
        <v>84245.650976082325</v>
      </c>
      <c r="W63" s="14">
        <f t="shared" si="82"/>
        <v>56163.767317388207</v>
      </c>
      <c r="X63" s="14">
        <f t="shared" si="82"/>
        <v>88092.75246165556</v>
      </c>
      <c r="Y63" s="14">
        <f t="shared" si="82"/>
        <v>83400.602709251121</v>
      </c>
      <c r="Z63" s="14">
        <f t="shared" si="82"/>
        <v>81692.752461655575</v>
      </c>
      <c r="AA63" s="14">
        <f t="shared" si="82"/>
        <v>62563.767317388207</v>
      </c>
    </row>
    <row r="65" spans="1:27" x14ac:dyDescent="0.25">
      <c r="B65" s="38" t="s">
        <v>282</v>
      </c>
      <c r="C65" s="33">
        <f>SUM(C61:C64)</f>
        <v>81653.5</v>
      </c>
      <c r="D65" s="33">
        <f t="shared" ref="D65:I65" si="83">SUM(D61:D64)</f>
        <v>80177.56</v>
      </c>
      <c r="E65" s="33">
        <f>SUM(E61:E64)</f>
        <v>81234.8</v>
      </c>
      <c r="F65" s="33">
        <f t="shared" si="83"/>
        <v>82843.5</v>
      </c>
      <c r="G65" s="33">
        <f t="shared" si="83"/>
        <v>81690.166666666657</v>
      </c>
      <c r="H65" s="33">
        <f t="shared" si="83"/>
        <v>79050.799999999988</v>
      </c>
      <c r="I65" s="33">
        <f t="shared" si="83"/>
        <v>66977.56</v>
      </c>
      <c r="K65" s="23"/>
      <c r="L65" s="17">
        <f>SUM(L61:L64)</f>
        <v>97835.548286079196</v>
      </c>
      <c r="M65" s="17">
        <f t="shared" ref="M65" si="84">SUM(M61:M64)</f>
        <v>94707.387139752798</v>
      </c>
      <c r="N65" s="17">
        <f t="shared" ref="N65" si="85">SUM(N61:N64)</f>
        <v>93189.105941067508</v>
      </c>
      <c r="O65" s="17">
        <f t="shared" ref="O65" si="86">SUM(O61:O64)</f>
        <v>97470.516618948459</v>
      </c>
      <c r="P65" s="17">
        <f t="shared" ref="P65" si="87">SUM(P61:P64)</f>
        <v>96495.363997473862</v>
      </c>
      <c r="Q65" s="17">
        <f t="shared" ref="Q65" si="88">SUM(Q61:Q64)</f>
        <v>94406.737712915987</v>
      </c>
      <c r="R65" s="17">
        <f t="shared" ref="R65" si="89">SUM(R61:R64)</f>
        <v>76745.102659164913</v>
      </c>
      <c r="T65" s="23"/>
      <c r="U65" s="17">
        <f>SUM(U61:U64)</f>
        <v>121317.90066301293</v>
      </c>
      <c r="V65" s="17">
        <f t="shared" ref="V65" si="90">SUM(V61:V64)</f>
        <v>115792.14197669929</v>
      </c>
      <c r="W65" s="17">
        <f t="shared" ref="W65" si="91">SUM(W61:W64)</f>
        <v>110536.42931862216</v>
      </c>
      <c r="X65" s="17">
        <f t="shared" ref="X65" si="92">SUM(X61:X64)</f>
        <v>118696.30660530596</v>
      </c>
      <c r="Y65" s="17">
        <f t="shared" ref="Y65" si="93">SUM(Y61:Y64)</f>
        <v>117979.71842441823</v>
      </c>
      <c r="Z65" s="17">
        <f t="shared" ref="Z65" si="94">SUM(Z61:Z64)</f>
        <v>116690.2913198561</v>
      </c>
      <c r="AA65" s="17">
        <f t="shared" ref="AA65" si="95">SUM(AA61:AA64)</f>
        <v>90919.135174971758</v>
      </c>
    </row>
    <row r="66" spans="1:27" x14ac:dyDescent="0.25">
      <c r="B66" s="2"/>
      <c r="C66" s="28"/>
      <c r="D66" s="28"/>
      <c r="E66" s="28"/>
      <c r="F66" s="28"/>
      <c r="G66" s="28"/>
      <c r="H66" s="28"/>
      <c r="I66" s="28"/>
      <c r="K66" s="2"/>
      <c r="L66" s="28"/>
      <c r="M66" s="28"/>
      <c r="N66" s="28"/>
      <c r="O66" s="28"/>
      <c r="P66" s="28"/>
      <c r="Q66" s="28"/>
      <c r="R66" s="28"/>
      <c r="T66" s="2"/>
      <c r="U66" s="28"/>
      <c r="V66" s="28"/>
      <c r="W66" s="28"/>
      <c r="X66" s="28"/>
      <c r="Y66" s="28"/>
      <c r="Z66" s="28"/>
      <c r="AA66" s="28"/>
    </row>
    <row r="67" spans="1:27" ht="98.25" customHeight="1" x14ac:dyDescent="0.25">
      <c r="B67" s="2"/>
      <c r="C67" s="28"/>
      <c r="D67" s="28"/>
      <c r="E67" s="28"/>
      <c r="F67" s="28"/>
      <c r="G67" s="28"/>
      <c r="H67" s="28"/>
      <c r="I67" s="28"/>
      <c r="K67" s="2"/>
      <c r="L67" s="28"/>
      <c r="M67" s="28"/>
      <c r="N67" s="28"/>
      <c r="O67" s="28"/>
      <c r="P67" s="28"/>
      <c r="Q67" s="28"/>
      <c r="R67" s="28"/>
      <c r="T67" s="2"/>
      <c r="U67" s="28"/>
      <c r="V67" s="28"/>
      <c r="W67" s="28"/>
      <c r="X67" s="28"/>
      <c r="Y67" s="28"/>
      <c r="Z67" s="28"/>
      <c r="AA67" s="28"/>
    </row>
    <row r="68" spans="1:27" x14ac:dyDescent="0.25">
      <c r="A68" s="2" t="s">
        <v>205</v>
      </c>
      <c r="B68" s="29"/>
      <c r="K68" s="13"/>
    </row>
    <row r="69" spans="1:27" x14ac:dyDescent="0.25">
      <c r="C69" s="2" t="s">
        <v>196</v>
      </c>
      <c r="E69" s="2" t="s">
        <v>197</v>
      </c>
      <c r="G69" s="2" t="s">
        <v>198</v>
      </c>
    </row>
    <row r="70" spans="1:27" x14ac:dyDescent="0.25">
      <c r="B70" s="24" t="s">
        <v>169</v>
      </c>
      <c r="C70" s="14">
        <f>C65</f>
        <v>81653.5</v>
      </c>
      <c r="D70" s="1">
        <f>RANK(C70,$C$70:$C$76,1)</f>
        <v>5</v>
      </c>
      <c r="E70" s="14">
        <f>L65</f>
        <v>97835.548286079196</v>
      </c>
      <c r="F70" s="1">
        <f t="shared" ref="F70:F76" si="96">RANK(E70,$E$70:$E$76,1)</f>
        <v>7</v>
      </c>
      <c r="G70" s="14">
        <f>U65</f>
        <v>121317.90066301293</v>
      </c>
      <c r="H70" s="1">
        <f t="shared" ref="H70:H76" si="97">RANK(G70,$G$70:$G$76,1)</f>
        <v>7</v>
      </c>
    </row>
    <row r="71" spans="1:27" x14ac:dyDescent="0.25">
      <c r="B71" s="24" t="s">
        <v>170</v>
      </c>
      <c r="C71" s="14">
        <f>D65</f>
        <v>80177.56</v>
      </c>
      <c r="D71" s="1">
        <f t="shared" ref="D71:D76" si="98">RANK(C71,$C$70:$C$76,1)</f>
        <v>3</v>
      </c>
      <c r="E71" s="14">
        <f>M65</f>
        <v>94707.387139752798</v>
      </c>
      <c r="F71" s="1">
        <f t="shared" si="96"/>
        <v>4</v>
      </c>
      <c r="G71" s="14">
        <f>V65</f>
        <v>115792.14197669929</v>
      </c>
      <c r="H71" s="1">
        <f t="shared" si="97"/>
        <v>3</v>
      </c>
    </row>
    <row r="72" spans="1:27" x14ac:dyDescent="0.25">
      <c r="B72" s="24" t="s">
        <v>25</v>
      </c>
      <c r="C72" s="14">
        <f>E65</f>
        <v>81234.8</v>
      </c>
      <c r="D72" s="1">
        <f t="shared" si="98"/>
        <v>4</v>
      </c>
      <c r="E72" s="14">
        <f>N65</f>
        <v>93189.105941067508</v>
      </c>
      <c r="F72" s="1">
        <f t="shared" si="96"/>
        <v>2</v>
      </c>
      <c r="G72" s="14">
        <f>W65</f>
        <v>110536.42931862216</v>
      </c>
      <c r="H72" s="1">
        <f t="shared" si="97"/>
        <v>2</v>
      </c>
    </row>
    <row r="73" spans="1:27" x14ac:dyDescent="0.25">
      <c r="B73" s="24" t="s">
        <v>178</v>
      </c>
      <c r="C73" s="14">
        <f>F65</f>
        <v>82843.5</v>
      </c>
      <c r="D73" s="1">
        <f t="shared" si="98"/>
        <v>7</v>
      </c>
      <c r="E73" s="14">
        <f>O65</f>
        <v>97470.516618948459</v>
      </c>
      <c r="F73" s="1">
        <f t="shared" si="96"/>
        <v>6</v>
      </c>
      <c r="G73" s="14">
        <f>X65</f>
        <v>118696.30660530596</v>
      </c>
      <c r="H73" s="1">
        <f t="shared" si="97"/>
        <v>6</v>
      </c>
    </row>
    <row r="74" spans="1:27" x14ac:dyDescent="0.25">
      <c r="B74" s="24" t="s">
        <v>179</v>
      </c>
      <c r="C74" s="14">
        <f>G65</f>
        <v>81690.166666666657</v>
      </c>
      <c r="D74" s="1">
        <f t="shared" si="98"/>
        <v>6</v>
      </c>
      <c r="E74" s="14">
        <f>P65</f>
        <v>96495.363997473862</v>
      </c>
      <c r="F74" s="1">
        <f t="shared" si="96"/>
        <v>5</v>
      </c>
      <c r="G74" s="14">
        <f>Y65</f>
        <v>117979.71842441823</v>
      </c>
      <c r="H74" s="1">
        <f t="shared" si="97"/>
        <v>5</v>
      </c>
    </row>
    <row r="75" spans="1:27" x14ac:dyDescent="0.25">
      <c r="B75" s="24" t="s">
        <v>180</v>
      </c>
      <c r="C75" s="14">
        <f>H65</f>
        <v>79050.799999999988</v>
      </c>
      <c r="D75" s="1">
        <f t="shared" si="98"/>
        <v>2</v>
      </c>
      <c r="E75" s="14">
        <f>Q65</f>
        <v>94406.737712915987</v>
      </c>
      <c r="F75" s="1">
        <f t="shared" si="96"/>
        <v>3</v>
      </c>
      <c r="G75" s="14">
        <f>Z65</f>
        <v>116690.2913198561</v>
      </c>
      <c r="H75" s="1">
        <f t="shared" si="97"/>
        <v>4</v>
      </c>
    </row>
    <row r="76" spans="1:27" x14ac:dyDescent="0.25">
      <c r="B76" s="24" t="s">
        <v>194</v>
      </c>
      <c r="C76" s="14">
        <f>I65</f>
        <v>66977.56</v>
      </c>
      <c r="D76" s="1">
        <f t="shared" si="98"/>
        <v>1</v>
      </c>
      <c r="E76" s="14">
        <f>R65</f>
        <v>76745.102659164913</v>
      </c>
      <c r="F76" s="1">
        <f t="shared" si="96"/>
        <v>1</v>
      </c>
      <c r="G76" s="14">
        <f>AA65</f>
        <v>90919.135174971758</v>
      </c>
      <c r="H76" s="1">
        <f t="shared" si="97"/>
        <v>1</v>
      </c>
    </row>
    <row r="77" spans="1:27" x14ac:dyDescent="0.25">
      <c r="C77" s="14"/>
    </row>
    <row r="79" spans="1:27" x14ac:dyDescent="0.25">
      <c r="A79" s="2" t="s">
        <v>201</v>
      </c>
      <c r="B79" s="24"/>
    </row>
    <row r="80" spans="1:27" ht="84" customHeight="1" x14ac:dyDescent="0.25">
      <c r="B80" s="112"/>
      <c r="C80" s="112"/>
      <c r="D80" s="112"/>
    </row>
    <row r="81" spans="2:4" ht="30" customHeight="1" x14ac:dyDescent="0.25">
      <c r="B81" s="112"/>
      <c r="C81" s="112"/>
      <c r="D81" s="112"/>
    </row>
    <row r="82" spans="2:4" ht="80.25" customHeight="1" x14ac:dyDescent="0.25">
      <c r="B82" s="112"/>
      <c r="C82" s="112"/>
      <c r="D82" s="112"/>
    </row>
    <row r="83" spans="2:4" ht="15" customHeight="1" x14ac:dyDescent="0.25"/>
    <row r="84" spans="2:4" ht="48" customHeight="1" x14ac:dyDescent="0.25"/>
  </sheetData>
  <mergeCells count="3">
    <mergeCell ref="B80:D80"/>
    <mergeCell ref="B81:D81"/>
    <mergeCell ref="B82:D82"/>
  </mergeCells>
  <pageMargins left="0.23622047244094491" right="0.23622047244094491" top="0.74803149606299213" bottom="0.74803149606299213" header="0.31496062992125984" footer="0.31496062992125984"/>
  <pageSetup paperSize="9" scale="90" orientation="landscape" horizontalDpi="0" verticalDpi="0" r:id="rId1"/>
  <headerFooter>
    <oddFooter>&amp;Laufgestellt: Horst Winter&amp;C&amp;D&amp;RSeite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2EE84-765B-4102-8FAB-E4929C5068B0}">
  <dimension ref="A1:C35"/>
  <sheetViews>
    <sheetView workbookViewId="0">
      <selection activeCell="B29" sqref="B29"/>
    </sheetView>
  </sheetViews>
  <sheetFormatPr baseColWidth="10" defaultRowHeight="15" x14ac:dyDescent="0.25"/>
  <cols>
    <col min="1" max="1" width="42.85546875" customWidth="1"/>
  </cols>
  <sheetData>
    <row r="1" spans="1:3" x14ac:dyDescent="0.25">
      <c r="A1" s="2" t="s">
        <v>76</v>
      </c>
    </row>
    <row r="2" spans="1:3" x14ac:dyDescent="0.25">
      <c r="A2" s="2"/>
    </row>
    <row r="3" spans="1:3" x14ac:dyDescent="0.25">
      <c r="A3" s="2" t="s">
        <v>90</v>
      </c>
    </row>
    <row r="5" spans="1:3" x14ac:dyDescent="0.25">
      <c r="A5" t="s">
        <v>77</v>
      </c>
      <c r="B5">
        <v>500</v>
      </c>
      <c r="C5" t="s">
        <v>78</v>
      </c>
    </row>
    <row r="6" spans="1:3" x14ac:dyDescent="0.25">
      <c r="A6" t="s">
        <v>79</v>
      </c>
      <c r="B6" s="113">
        <v>0.1</v>
      </c>
      <c r="C6" t="s">
        <v>75</v>
      </c>
    </row>
    <row r="7" spans="1:3" x14ac:dyDescent="0.25">
      <c r="A7" t="s">
        <v>80</v>
      </c>
      <c r="B7">
        <v>15</v>
      </c>
      <c r="C7" t="s">
        <v>81</v>
      </c>
    </row>
    <row r="8" spans="1:3" x14ac:dyDescent="0.25">
      <c r="A8" s="3" t="s">
        <v>82</v>
      </c>
      <c r="B8" s="3">
        <f>B5*B6*B7</f>
        <v>750</v>
      </c>
      <c r="C8" s="3" t="s">
        <v>75</v>
      </c>
    </row>
    <row r="10" spans="1:3" x14ac:dyDescent="0.25">
      <c r="A10" t="s">
        <v>83</v>
      </c>
      <c r="B10">
        <v>2</v>
      </c>
      <c r="C10" t="s">
        <v>84</v>
      </c>
    </row>
    <row r="11" spans="1:3" x14ac:dyDescent="0.25">
      <c r="A11" t="s">
        <v>86</v>
      </c>
      <c r="B11">
        <v>2.2000000000000002</v>
      </c>
      <c r="C11" t="s">
        <v>85</v>
      </c>
    </row>
    <row r="13" spans="1:3" x14ac:dyDescent="0.25">
      <c r="A13" s="3" t="s">
        <v>87</v>
      </c>
      <c r="B13" s="16">
        <f>B8*B10*B11</f>
        <v>3300.0000000000005</v>
      </c>
      <c r="C13" s="3" t="s">
        <v>75</v>
      </c>
    </row>
    <row r="15" spans="1:3" x14ac:dyDescent="0.25">
      <c r="A15" t="s">
        <v>88</v>
      </c>
      <c r="B15">
        <v>500</v>
      </c>
      <c r="C15" t="s">
        <v>75</v>
      </c>
    </row>
    <row r="17" spans="1:3" ht="15.75" thickBot="1" x14ac:dyDescent="0.3">
      <c r="A17" s="4" t="s">
        <v>89</v>
      </c>
      <c r="B17" s="39">
        <f>B13+B15</f>
        <v>3800.0000000000005</v>
      </c>
      <c r="C17" s="4" t="s">
        <v>75</v>
      </c>
    </row>
    <row r="18" spans="1:3" ht="15.75" thickTop="1" x14ac:dyDescent="0.25"/>
    <row r="20" spans="1:3" x14ac:dyDescent="0.25">
      <c r="A20" s="2" t="s">
        <v>91</v>
      </c>
    </row>
    <row r="22" spans="1:3" x14ac:dyDescent="0.25">
      <c r="A22" t="s">
        <v>77</v>
      </c>
      <c r="B22">
        <v>400</v>
      </c>
      <c r="C22" t="s">
        <v>78</v>
      </c>
    </row>
    <row r="23" spans="1:3" x14ac:dyDescent="0.25">
      <c r="A23" t="s">
        <v>79</v>
      </c>
      <c r="B23" s="113">
        <v>0.1</v>
      </c>
      <c r="C23" t="s">
        <v>75</v>
      </c>
    </row>
    <row r="24" spans="1:3" x14ac:dyDescent="0.25">
      <c r="A24" t="s">
        <v>80</v>
      </c>
      <c r="B24">
        <v>15</v>
      </c>
      <c r="C24" t="s">
        <v>81</v>
      </c>
    </row>
    <row r="25" spans="1:3" x14ac:dyDescent="0.25">
      <c r="A25" s="3" t="s">
        <v>82</v>
      </c>
      <c r="B25" s="3">
        <f>B22*B23*B24</f>
        <v>600</v>
      </c>
      <c r="C25" s="3" t="s">
        <v>75</v>
      </c>
    </row>
    <row r="27" spans="1:3" x14ac:dyDescent="0.25">
      <c r="A27" t="s">
        <v>83</v>
      </c>
      <c r="B27">
        <v>8</v>
      </c>
      <c r="C27" t="s">
        <v>84</v>
      </c>
    </row>
    <row r="28" spans="1:3" x14ac:dyDescent="0.25">
      <c r="A28" t="s">
        <v>86</v>
      </c>
      <c r="B28">
        <v>2.2000000000000002</v>
      </c>
      <c r="C28" t="s">
        <v>85</v>
      </c>
    </row>
    <row r="30" spans="1:3" x14ac:dyDescent="0.25">
      <c r="A30" s="3" t="s">
        <v>87</v>
      </c>
      <c r="B30" s="16">
        <f>B25*B27*B28</f>
        <v>10560</v>
      </c>
      <c r="C30" s="3" t="s">
        <v>75</v>
      </c>
    </row>
    <row r="32" spans="1:3" x14ac:dyDescent="0.25">
      <c r="A32" t="s">
        <v>88</v>
      </c>
      <c r="B32" s="14">
        <v>2000</v>
      </c>
      <c r="C32" t="s">
        <v>75</v>
      </c>
    </row>
    <row r="34" spans="1:3" ht="15.75" thickBot="1" x14ac:dyDescent="0.3">
      <c r="A34" s="4" t="s">
        <v>89</v>
      </c>
      <c r="B34" s="39">
        <f>B30+B32</f>
        <v>12560</v>
      </c>
      <c r="C34" s="4" t="s">
        <v>75</v>
      </c>
    </row>
    <row r="35" spans="1:3" ht="15.75" thickTop="1" x14ac:dyDescent="0.25"/>
  </sheetData>
  <pageMargins left="0.7" right="0.7" top="0.78740157499999996" bottom="0.78740157499999996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195CB-AF56-461F-96B3-4EB385656D20}">
  <dimension ref="A1:H21"/>
  <sheetViews>
    <sheetView workbookViewId="0">
      <selection activeCell="E24" sqref="E24"/>
    </sheetView>
  </sheetViews>
  <sheetFormatPr baseColWidth="10" defaultRowHeight="15" x14ac:dyDescent="0.25"/>
  <cols>
    <col min="1" max="1" width="4.42578125" style="42" customWidth="1"/>
    <col min="2" max="2" width="48.42578125" style="41" bestFit="1" customWidth="1"/>
    <col min="3" max="3" width="12.42578125" customWidth="1"/>
    <col min="4" max="4" width="1.7109375" customWidth="1"/>
    <col min="5" max="5" width="14.85546875" customWidth="1"/>
    <col min="6" max="6" width="1.7109375" customWidth="1"/>
    <col min="7" max="7" width="27.85546875" customWidth="1"/>
    <col min="8" max="8" width="24.28515625" customWidth="1"/>
  </cols>
  <sheetData>
    <row r="1" spans="1:8" ht="15.75" thickBot="1" x14ac:dyDescent="0.3"/>
    <row r="2" spans="1:8" ht="32.25" customHeight="1" x14ac:dyDescent="0.25">
      <c r="A2" s="82"/>
      <c r="B2" s="83" t="s">
        <v>249</v>
      </c>
      <c r="C2" s="84" t="s">
        <v>224</v>
      </c>
      <c r="D2" s="84"/>
      <c r="E2" s="84" t="s">
        <v>225</v>
      </c>
      <c r="F2" s="84"/>
      <c r="G2" s="84" t="s">
        <v>226</v>
      </c>
      <c r="H2" s="86"/>
    </row>
    <row r="3" spans="1:8" ht="4.5" customHeight="1" thickBot="1" x14ac:dyDescent="0.3">
      <c r="A3" s="85"/>
      <c r="B3" s="44"/>
      <c r="C3" s="45"/>
      <c r="D3" s="45"/>
      <c r="E3" s="45"/>
      <c r="F3" s="45"/>
      <c r="G3" s="45"/>
      <c r="H3" s="87"/>
    </row>
    <row r="4" spans="1:8" x14ac:dyDescent="0.25">
      <c r="A4" s="59">
        <v>1</v>
      </c>
      <c r="B4" s="60" t="s">
        <v>14</v>
      </c>
      <c r="C4" s="93" t="s">
        <v>262</v>
      </c>
      <c r="D4" s="61"/>
      <c r="E4" s="62" t="s">
        <v>264</v>
      </c>
      <c r="F4" s="61"/>
      <c r="G4" s="63" t="s">
        <v>235</v>
      </c>
      <c r="H4" s="88"/>
    </row>
    <row r="5" spans="1:8" ht="30" x14ac:dyDescent="0.25">
      <c r="A5" s="64">
        <f>A4+1</f>
        <v>2</v>
      </c>
      <c r="B5" s="65" t="s">
        <v>15</v>
      </c>
      <c r="C5" s="94" t="s">
        <v>262</v>
      </c>
      <c r="D5" s="3"/>
      <c r="E5" s="103" t="s">
        <v>247</v>
      </c>
      <c r="F5" s="3"/>
      <c r="G5" s="67" t="s">
        <v>256</v>
      </c>
      <c r="H5" s="89"/>
    </row>
    <row r="6" spans="1:8" ht="30" x14ac:dyDescent="0.25">
      <c r="A6" s="64">
        <f t="shared" ref="A6:A9" si="0">A5+1</f>
        <v>3</v>
      </c>
      <c r="B6" s="65" t="s">
        <v>231</v>
      </c>
      <c r="C6" s="94" t="s">
        <v>262</v>
      </c>
      <c r="D6" s="3"/>
      <c r="E6" s="68" t="s">
        <v>264</v>
      </c>
      <c r="F6" s="3"/>
      <c r="G6" s="67" t="s">
        <v>256</v>
      </c>
      <c r="H6" s="89"/>
    </row>
    <row r="7" spans="1:8" ht="32.25" customHeight="1" thickBot="1" x14ac:dyDescent="0.3">
      <c r="A7" s="57">
        <f t="shared" si="0"/>
        <v>4</v>
      </c>
      <c r="B7" s="44" t="s">
        <v>232</v>
      </c>
      <c r="C7" s="95" t="s">
        <v>262</v>
      </c>
      <c r="D7" s="45"/>
      <c r="E7" s="58" t="s">
        <v>265</v>
      </c>
      <c r="F7" s="45"/>
      <c r="G7" s="54" t="s">
        <v>255</v>
      </c>
      <c r="H7" s="87"/>
    </row>
    <row r="8" spans="1:8" ht="48" customHeight="1" x14ac:dyDescent="0.25">
      <c r="A8" s="69">
        <f t="shared" si="0"/>
        <v>5</v>
      </c>
      <c r="B8" s="60" t="s">
        <v>40</v>
      </c>
      <c r="C8" s="96" t="s">
        <v>263</v>
      </c>
      <c r="D8" s="61"/>
      <c r="E8" s="62" t="s">
        <v>264</v>
      </c>
      <c r="F8" s="61"/>
      <c r="G8" s="70" t="s">
        <v>259</v>
      </c>
      <c r="H8" s="88" t="s">
        <v>266</v>
      </c>
    </row>
    <row r="9" spans="1:8" ht="48" customHeight="1" x14ac:dyDescent="0.25">
      <c r="A9" s="75">
        <f t="shared" si="0"/>
        <v>6</v>
      </c>
      <c r="B9" s="65" t="s">
        <v>46</v>
      </c>
      <c r="C9" s="97" t="s">
        <v>263</v>
      </c>
      <c r="D9" s="3"/>
      <c r="E9" s="76" t="s">
        <v>241</v>
      </c>
      <c r="F9" s="3"/>
      <c r="G9" s="77" t="s">
        <v>238</v>
      </c>
      <c r="H9" s="89" t="s">
        <v>267</v>
      </c>
    </row>
    <row r="10" spans="1:8" ht="49.5" customHeight="1" thickBot="1" x14ac:dyDescent="0.3">
      <c r="A10" s="75">
        <f>A9+1</f>
        <v>7</v>
      </c>
      <c r="B10" s="65" t="s">
        <v>227</v>
      </c>
      <c r="C10" s="97" t="s">
        <v>263</v>
      </c>
      <c r="D10" s="3"/>
      <c r="E10" s="76" t="s">
        <v>242</v>
      </c>
      <c r="F10" s="3"/>
      <c r="G10" s="77" t="s">
        <v>236</v>
      </c>
      <c r="H10" s="89"/>
    </row>
    <row r="11" spans="1:8" ht="33" customHeight="1" x14ac:dyDescent="0.25">
      <c r="A11" s="75">
        <f t="shared" ref="A11:A21" si="1">A10+1</f>
        <v>8</v>
      </c>
      <c r="B11" s="65" t="s">
        <v>254</v>
      </c>
      <c r="C11" s="97" t="s">
        <v>263</v>
      </c>
      <c r="D11" s="3"/>
      <c r="E11" s="76" t="s">
        <v>265</v>
      </c>
      <c r="F11" s="3"/>
      <c r="G11" s="63" t="s">
        <v>235</v>
      </c>
      <c r="H11" s="89" t="s">
        <v>251</v>
      </c>
    </row>
    <row r="12" spans="1:8" ht="34.5" customHeight="1" x14ac:dyDescent="0.25">
      <c r="A12" s="75">
        <f t="shared" si="1"/>
        <v>9</v>
      </c>
      <c r="B12" s="65" t="s">
        <v>234</v>
      </c>
      <c r="C12" s="97" t="s">
        <v>263</v>
      </c>
      <c r="D12" s="3"/>
      <c r="E12" s="68" t="s">
        <v>264</v>
      </c>
      <c r="F12" s="3"/>
      <c r="G12" s="77" t="s">
        <v>237</v>
      </c>
      <c r="H12" s="89"/>
    </row>
    <row r="13" spans="1:8" ht="30" x14ac:dyDescent="0.25">
      <c r="A13" s="71">
        <f t="shared" si="1"/>
        <v>10</v>
      </c>
      <c r="B13" s="72" t="s">
        <v>233</v>
      </c>
      <c r="C13" s="98" t="s">
        <v>261</v>
      </c>
      <c r="D13" s="40"/>
      <c r="E13" s="73" t="s">
        <v>243</v>
      </c>
      <c r="F13" s="40"/>
      <c r="G13" s="74" t="s">
        <v>255</v>
      </c>
      <c r="H13" s="90"/>
    </row>
    <row r="14" spans="1:8" ht="30.75" thickBot="1" x14ac:dyDescent="0.3">
      <c r="A14" s="55">
        <f t="shared" si="1"/>
        <v>11</v>
      </c>
      <c r="B14" s="44" t="s">
        <v>228</v>
      </c>
      <c r="C14" s="99" t="s">
        <v>261</v>
      </c>
      <c r="D14" s="45"/>
      <c r="E14" s="56" t="s">
        <v>264</v>
      </c>
      <c r="F14" s="45"/>
      <c r="G14" s="53"/>
      <c r="H14" s="87" t="s">
        <v>252</v>
      </c>
    </row>
    <row r="15" spans="1:8" x14ac:dyDescent="0.25">
      <c r="A15" s="78">
        <f t="shared" si="1"/>
        <v>12</v>
      </c>
      <c r="B15" s="60" t="s">
        <v>245</v>
      </c>
      <c r="C15" s="96" t="s">
        <v>263</v>
      </c>
      <c r="D15" s="61"/>
      <c r="E15" s="79" t="s">
        <v>160</v>
      </c>
      <c r="F15" s="61"/>
      <c r="G15" s="63" t="s">
        <v>235</v>
      </c>
      <c r="H15" s="88" t="s">
        <v>253</v>
      </c>
    </row>
    <row r="16" spans="1:8" ht="30" x14ac:dyDescent="0.25">
      <c r="A16" s="92">
        <f t="shared" si="1"/>
        <v>13</v>
      </c>
      <c r="B16" s="65" t="s">
        <v>3</v>
      </c>
      <c r="C16" s="97" t="s">
        <v>263</v>
      </c>
      <c r="D16" s="3"/>
      <c r="E16" s="66" t="s">
        <v>250</v>
      </c>
      <c r="F16" s="3"/>
      <c r="G16" s="67" t="s">
        <v>235</v>
      </c>
      <c r="H16" s="89" t="s">
        <v>260</v>
      </c>
    </row>
    <row r="17" spans="1:8" ht="30.75" thickBot="1" x14ac:dyDescent="0.3">
      <c r="A17" s="52">
        <f t="shared" si="1"/>
        <v>14</v>
      </c>
      <c r="B17" s="44" t="s">
        <v>246</v>
      </c>
      <c r="C17" s="100" t="s">
        <v>263</v>
      </c>
      <c r="D17" s="45"/>
      <c r="E17" s="53" t="s">
        <v>248</v>
      </c>
      <c r="F17" s="45"/>
      <c r="G17" s="54" t="s">
        <v>235</v>
      </c>
      <c r="H17" s="87" t="s">
        <v>251</v>
      </c>
    </row>
    <row r="18" spans="1:8" ht="15.75" thickBot="1" x14ac:dyDescent="0.3">
      <c r="A18" s="47">
        <f t="shared" si="1"/>
        <v>15</v>
      </c>
      <c r="B18" s="48" t="s">
        <v>229</v>
      </c>
      <c r="C18" s="101" t="s">
        <v>263</v>
      </c>
      <c r="D18" s="49"/>
      <c r="E18" s="50"/>
      <c r="F18" s="49"/>
      <c r="G18" s="51" t="s">
        <v>235</v>
      </c>
      <c r="H18" s="91"/>
    </row>
    <row r="19" spans="1:8" x14ac:dyDescent="0.25">
      <c r="A19" s="80">
        <f t="shared" si="1"/>
        <v>16</v>
      </c>
      <c r="B19" s="60" t="s">
        <v>230</v>
      </c>
      <c r="C19" s="102" t="s">
        <v>261</v>
      </c>
      <c r="D19" s="61"/>
      <c r="E19" s="62"/>
      <c r="F19" s="61"/>
      <c r="G19" s="63" t="s">
        <v>235</v>
      </c>
      <c r="H19" s="88"/>
    </row>
    <row r="20" spans="1:8" ht="30" x14ac:dyDescent="0.25">
      <c r="A20" s="81">
        <f t="shared" si="1"/>
        <v>17</v>
      </c>
      <c r="B20" s="65" t="s">
        <v>239</v>
      </c>
      <c r="C20" s="97" t="s">
        <v>263</v>
      </c>
      <c r="D20" s="3"/>
      <c r="E20" s="67" t="s">
        <v>258</v>
      </c>
      <c r="F20" s="3"/>
      <c r="G20" s="67" t="s">
        <v>240</v>
      </c>
      <c r="H20" s="89" t="s">
        <v>257</v>
      </c>
    </row>
    <row r="21" spans="1:8" ht="30.75" thickBot="1" x14ac:dyDescent="0.3">
      <c r="A21" s="43">
        <f t="shared" si="1"/>
        <v>18</v>
      </c>
      <c r="B21" s="44" t="s">
        <v>244</v>
      </c>
      <c r="C21" s="100" t="s">
        <v>263</v>
      </c>
      <c r="D21" s="45"/>
      <c r="E21" s="46"/>
      <c r="F21" s="45"/>
      <c r="G21" s="46"/>
      <c r="H21" s="87" t="s">
        <v>251</v>
      </c>
    </row>
  </sheetData>
  <pageMargins left="0.7" right="0.7" top="0.78740157499999996" bottom="0.78740157499999996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1FDB1-41ED-4E5E-97B6-5ACF7521AB7C}">
  <dimension ref="B2:D33"/>
  <sheetViews>
    <sheetView tabSelected="1" workbookViewId="0">
      <selection activeCell="G18" sqref="G18"/>
    </sheetView>
  </sheetViews>
  <sheetFormatPr baseColWidth="10" defaultRowHeight="15" x14ac:dyDescent="0.25"/>
  <cols>
    <col min="2" max="2" width="30.42578125" customWidth="1"/>
  </cols>
  <sheetData>
    <row r="2" spans="2:4" x14ac:dyDescent="0.25">
      <c r="B2" s="2" t="s">
        <v>307</v>
      </c>
    </row>
    <row r="3" spans="2:4" x14ac:dyDescent="0.25">
      <c r="B3" s="2" t="s">
        <v>308</v>
      </c>
    </row>
    <row r="4" spans="2:4" x14ac:dyDescent="0.25">
      <c r="B4" s="2" t="s">
        <v>309</v>
      </c>
    </row>
    <row r="6" spans="2:4" x14ac:dyDescent="0.25">
      <c r="B6" s="105" t="s">
        <v>283</v>
      </c>
      <c r="C6" s="106"/>
      <c r="D6" s="106"/>
    </row>
    <row r="7" spans="2:4" x14ac:dyDescent="0.25">
      <c r="B7" s="106"/>
      <c r="C7" s="106"/>
      <c r="D7" s="106"/>
    </row>
    <row r="8" spans="2:4" x14ac:dyDescent="0.25">
      <c r="B8" s="107" t="s">
        <v>284</v>
      </c>
      <c r="C8" s="108"/>
      <c r="D8" s="108">
        <f>C9+C10+C11+C12+C13+C14</f>
        <v>14286</v>
      </c>
    </row>
    <row r="9" spans="2:4" x14ac:dyDescent="0.25">
      <c r="B9" s="109" t="s">
        <v>285</v>
      </c>
      <c r="C9" s="108">
        <v>5113</v>
      </c>
      <c r="D9" s="108"/>
    </row>
    <row r="10" spans="2:4" x14ac:dyDescent="0.25">
      <c r="B10" s="109" t="s">
        <v>286</v>
      </c>
      <c r="C10" s="108">
        <v>1536</v>
      </c>
      <c r="D10" s="108"/>
    </row>
    <row r="11" spans="2:4" x14ac:dyDescent="0.25">
      <c r="B11" s="109" t="s">
        <v>287</v>
      </c>
      <c r="C11" s="108">
        <v>1096</v>
      </c>
      <c r="D11" s="108"/>
    </row>
    <row r="12" spans="2:4" x14ac:dyDescent="0.25">
      <c r="B12" s="109" t="s">
        <v>288</v>
      </c>
      <c r="C12" s="108">
        <v>3721</v>
      </c>
      <c r="D12" s="108"/>
    </row>
    <row r="13" spans="2:4" x14ac:dyDescent="0.25">
      <c r="B13" s="109" t="s">
        <v>289</v>
      </c>
      <c r="C13" s="108">
        <v>321</v>
      </c>
      <c r="D13" s="108"/>
    </row>
    <row r="14" spans="2:4" x14ac:dyDescent="0.25">
      <c r="B14" s="109" t="s">
        <v>290</v>
      </c>
      <c r="C14" s="108">
        <v>2499</v>
      </c>
      <c r="D14" s="108"/>
    </row>
    <row r="15" spans="2:4" x14ac:dyDescent="0.25">
      <c r="B15" s="106" t="s">
        <v>291</v>
      </c>
      <c r="C15" s="108"/>
      <c r="D15" s="108">
        <v>10304</v>
      </c>
    </row>
    <row r="16" spans="2:4" x14ac:dyDescent="0.25">
      <c r="B16" s="106" t="s">
        <v>292</v>
      </c>
      <c r="C16" s="108"/>
      <c r="D16" s="108">
        <f>C17+C18</f>
        <v>-12405</v>
      </c>
    </row>
    <row r="17" spans="2:4" x14ac:dyDescent="0.25">
      <c r="B17" s="109" t="s">
        <v>293</v>
      </c>
      <c r="C17" s="108">
        <v>-7693</v>
      </c>
      <c r="D17" s="108"/>
    </row>
    <row r="18" spans="2:4" x14ac:dyDescent="0.25">
      <c r="B18" s="109" t="s">
        <v>294</v>
      </c>
      <c r="C18" s="108">
        <v>-4712</v>
      </c>
      <c r="D18" s="108"/>
    </row>
    <row r="19" spans="2:4" x14ac:dyDescent="0.25">
      <c r="B19" s="106"/>
      <c r="C19" s="108"/>
      <c r="D19" s="108"/>
    </row>
    <row r="20" spans="2:4" x14ac:dyDescent="0.25">
      <c r="B20" s="105" t="s">
        <v>295</v>
      </c>
      <c r="C20" s="110"/>
      <c r="D20" s="110">
        <f>SUM(D8:D19)</f>
        <v>12185</v>
      </c>
    </row>
    <row r="21" spans="2:4" x14ac:dyDescent="0.25">
      <c r="B21" s="106"/>
      <c r="C21" s="108"/>
      <c r="D21" s="108"/>
    </row>
    <row r="22" spans="2:4" x14ac:dyDescent="0.25">
      <c r="B22" s="106" t="s">
        <v>296</v>
      </c>
      <c r="C22" s="108"/>
      <c r="D22" s="108">
        <f>C23+C24</f>
        <v>-5776</v>
      </c>
    </row>
    <row r="23" spans="2:4" x14ac:dyDescent="0.25">
      <c r="B23" s="109" t="s">
        <v>297</v>
      </c>
      <c r="C23" s="108">
        <v>-1187</v>
      </c>
      <c r="D23" s="108"/>
    </row>
    <row r="24" spans="2:4" x14ac:dyDescent="0.25">
      <c r="B24" s="109" t="s">
        <v>298</v>
      </c>
      <c r="C24" s="108">
        <v>-4589</v>
      </c>
      <c r="D24" s="108"/>
    </row>
    <row r="25" spans="2:4" x14ac:dyDescent="0.25">
      <c r="B25" s="106" t="s">
        <v>299</v>
      </c>
      <c r="C25" s="108"/>
      <c r="D25" s="108">
        <f>C26+C27+C28+C29</f>
        <v>-4338</v>
      </c>
    </row>
    <row r="26" spans="2:4" x14ac:dyDescent="0.25">
      <c r="B26" s="109" t="s">
        <v>300</v>
      </c>
      <c r="C26" s="108">
        <v>293</v>
      </c>
      <c r="D26" s="108"/>
    </row>
    <row r="27" spans="2:4" x14ac:dyDescent="0.25">
      <c r="B27" s="109" t="s">
        <v>301</v>
      </c>
      <c r="C27" s="108">
        <v>143</v>
      </c>
      <c r="D27" s="108"/>
    </row>
    <row r="28" spans="2:4" x14ac:dyDescent="0.25">
      <c r="B28" s="109" t="s">
        <v>302</v>
      </c>
      <c r="C28" s="108">
        <v>12</v>
      </c>
      <c r="D28" s="108"/>
    </row>
    <row r="29" spans="2:4" x14ac:dyDescent="0.25">
      <c r="B29" s="109" t="s">
        <v>306</v>
      </c>
      <c r="C29" s="108">
        <v>-4786</v>
      </c>
      <c r="D29" s="108"/>
    </row>
    <row r="30" spans="2:4" x14ac:dyDescent="0.25">
      <c r="B30" s="106" t="s">
        <v>303</v>
      </c>
      <c r="C30" s="108"/>
      <c r="D30" s="108"/>
    </row>
    <row r="31" spans="2:4" x14ac:dyDescent="0.25">
      <c r="B31" s="106"/>
      <c r="C31" s="108"/>
      <c r="D31" s="108"/>
    </row>
    <row r="32" spans="2:4" x14ac:dyDescent="0.25">
      <c r="B32" s="106" t="s">
        <v>304</v>
      </c>
      <c r="C32" s="108"/>
      <c r="D32" s="108">
        <v>472</v>
      </c>
    </row>
    <row r="33" spans="2:4" x14ac:dyDescent="0.25">
      <c r="B33" s="105" t="s">
        <v>305</v>
      </c>
      <c r="C33" s="110"/>
      <c r="D33" s="110">
        <f>D20+D22+D25+D32</f>
        <v>2543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Heizsysteme</vt:lpstr>
      <vt:lpstr>WIR</vt:lpstr>
      <vt:lpstr>Solarthermie</vt:lpstr>
      <vt:lpstr>Übersicht</vt:lpstr>
      <vt:lpstr>Bilanz</vt:lpstr>
      <vt:lpstr>Heizsysteme!Drucktitel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hjw</dc:creator>
  <cp:lastModifiedBy>hjw</cp:lastModifiedBy>
  <cp:lastPrinted>2023-03-12T15:46:28Z</cp:lastPrinted>
  <dcterms:created xsi:type="dcterms:W3CDTF">2017-08-31T16:16:54Z</dcterms:created>
  <dcterms:modified xsi:type="dcterms:W3CDTF">2023-05-26T05:48:29Z</dcterms:modified>
</cp:coreProperties>
</file>